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olo" sheetId="1" state="visible" r:id="rId3"/>
    <sheet name="Note" sheetId="2" state="visible" r:id="rId4"/>
    <sheet name="Dati MRT0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<sst xmlns="http://schemas.openxmlformats.org/spreadsheetml/2006/main" count="248" uniqueCount="203">
  <si>
    <t xml:space="preserve">PRESTAZIONI DI UN TORQUE MOTOR A TENSIONE DI BUS RIDOTTA</t>
  </si>
  <si>
    <t xml:space="preserve">Valori precaricati: MRT03-II17N (Sinadrive) su bus 24 Vdc. Sovrascrivi le celle gialle con i dati del tuo motore.</t>
  </si>
  <si>
    <t xml:space="preserve">1.  DATI MOTORE  (da datasheet)</t>
  </si>
  <si>
    <t xml:space="preserve">Parametro</t>
  </si>
  <si>
    <t xml:space="preserve">Sim.</t>
  </si>
  <si>
    <t xml:space="preserve">Valore</t>
  </si>
  <si>
    <t xml:space="preserve">Unita</t>
  </si>
  <si>
    <t xml:space="preserve">Note</t>
  </si>
  <si>
    <t xml:space="preserve">Costante di coppia</t>
  </si>
  <si>
    <t xml:space="preserve">Kt</t>
  </si>
  <si>
    <t xml:space="preserve">Nm/A_rms</t>
  </si>
  <si>
    <t xml:space="preserve">Riferita alla corrente di FASE. Se il datasheet la da in A_picco, dividi per SQRT(2).</t>
  </si>
  <si>
    <t xml:space="preserve">Costante motore</t>
  </si>
  <si>
    <t xml:space="preserve">Km</t>
  </si>
  <si>
    <t xml:space="preserve">(Nm)^2/W</t>
  </si>
  <si>
    <t xml:space="preserve">Usata solo se la resistenza non e nota. Vedi convenzione alla riga 23.</t>
  </si>
  <si>
    <t xml:space="preserve">Resistenza concatenata @25 C</t>
  </si>
  <si>
    <t xml:space="preserve">R_ll</t>
  </si>
  <si>
    <t xml:space="preserve">ohm</t>
  </si>
  <si>
    <t xml:space="preserve">PRIORITARIA su Km. Lascia vuoto se non la conosci.</t>
  </si>
  <si>
    <t xml:space="preserve">Induttanza concatenata</t>
  </si>
  <si>
    <t xml:space="preserve">L_ll</t>
  </si>
  <si>
    <t xml:space="preserve">mH</t>
  </si>
  <si>
    <t xml:space="preserve">0 = modello puramente resistivo (corretto a bassa velocita).</t>
  </si>
  <si>
    <t xml:space="preserve">Numero di poli</t>
  </si>
  <si>
    <t xml:space="preserve">N_mag</t>
  </si>
  <si>
    <t xml:space="preserve">nr</t>
  </si>
  <si>
    <t xml:space="preserve">Poli, non coppie polari.</t>
  </si>
  <si>
    <t xml:space="preserve">Corrente di picco</t>
  </si>
  <si>
    <t xml:space="preserve">Ip</t>
  </si>
  <si>
    <t xml:space="preserve">A_rms</t>
  </si>
  <si>
    <t xml:space="preserve">Limite di smagnetizzazione dei magneti.</t>
  </si>
  <si>
    <t xml:space="preserve">Corrente continuativa</t>
  </si>
  <si>
    <t xml:space="preserve">Ic</t>
  </si>
  <si>
    <t xml:space="preserve">Limite termico.</t>
  </si>
  <si>
    <t xml:space="preserve">Coppia di picco</t>
  </si>
  <si>
    <t xml:space="preserve">Tp</t>
  </si>
  <si>
    <t xml:space="preserve">Nm</t>
  </si>
  <si>
    <t xml:space="preserve">Coppia continuativa</t>
  </si>
  <si>
    <t xml:space="preserve">Tc</t>
  </si>
  <si>
    <t xml:space="preserve">2.  ALIMENTAZIONE, DRIVE E CONDIZIONI DI LAVORO</t>
  </si>
  <si>
    <t xml:space="preserve">Tensione del bus DC</t>
  </si>
  <si>
    <t xml:space="preserve">Vdc</t>
  </si>
  <si>
    <t xml:space="preserve">V</t>
  </si>
  <si>
    <t xml:space="preserve">Fattore di modulazione</t>
  </si>
  <si>
    <t xml:space="preserve">k_mod</t>
  </si>
  <si>
    <t xml:space="preserve">-</t>
  </si>
  <si>
    <t xml:space="preserve">0,707 = SVM / iniezione di terza armonica.  0,612 = PWM sinusoidale.</t>
  </si>
  <si>
    <t xml:space="preserve">Caduta sugli interruttori del drive</t>
  </si>
  <si>
    <t xml:space="preserve">V_drop</t>
  </si>
  <si>
    <t xml:space="preserve">Somma delle cadute di conduzione. Tipico 1-2 V su un ponte a IGBT.</t>
  </si>
  <si>
    <t xml:space="preserve">Temperatura dell'avvolgimento</t>
  </si>
  <si>
    <t xml:space="preserve">T_cu</t>
  </si>
  <si>
    <t xml:space="preserve">C</t>
  </si>
  <si>
    <t xml:space="preserve">La resistenza del rame sale di ~0,393 % per grado.</t>
  </si>
  <si>
    <t xml:space="preserve">Velocita di lavoro desiderata</t>
  </si>
  <si>
    <t xml:space="preserve">n_lav</t>
  </si>
  <si>
    <t xml:space="preserve">rpm</t>
  </si>
  <si>
    <t xml:space="preserve">Punto in cui vuoi conoscere la coppia disponibile.</t>
  </si>
  <si>
    <t xml:space="preserve">Convenzione di Km</t>
  </si>
  <si>
    <t xml:space="preserve">k_conv</t>
  </si>
  <si>
    <t xml:space="preserve">1 = Km definita come Kt^2/R_ll.   1,5 = Km definita come Kt^2/(3*R_fase).</t>
  </si>
  <si>
    <t xml:space="preserve">3.  GRANDEZZE DERIVATE</t>
  </si>
  <si>
    <t xml:space="preserve">Costante di BEMF concatenata</t>
  </si>
  <si>
    <t xml:space="preserve">Ke_ll</t>
  </si>
  <si>
    <t xml:space="preserve">V_rms/(rad/s)</t>
  </si>
  <si>
    <t xml:space="preserve">Ke_ll = Kt/SQRT(3). Dimostrazione nel foglio Note.</t>
  </si>
  <si>
    <t xml:space="preserve">Coppie polari</t>
  </si>
  <si>
    <t xml:space="preserve">p</t>
  </si>
  <si>
    <t xml:space="preserve">R_ll ricavata da Km</t>
  </si>
  <si>
    <t xml:space="preserve">Valida solo se Km e coerente con la convenzione scelta.</t>
  </si>
  <si>
    <t xml:space="preserve">R_ll adottata @25 C</t>
  </si>
  <si>
    <t xml:space="preserve">Usa il dato misurato se presente, altrimenti quello da Km.</t>
  </si>
  <si>
    <t xml:space="preserve">R_ll alla temperatura di lavoro</t>
  </si>
  <si>
    <t xml:space="preserve">R_T</t>
  </si>
  <si>
    <t xml:space="preserve">Tensione concatenata disponibile</t>
  </si>
  <si>
    <t xml:space="preserve">V_ll</t>
  </si>
  <si>
    <t xml:space="preserve">V_rms</t>
  </si>
  <si>
    <t xml:space="preserve">E' il budget totale di tensione.</t>
  </si>
  <si>
    <t xml:space="preserve">Caduta resistiva per ampere</t>
  </si>
  <si>
    <t xml:space="preserve">k_R</t>
  </si>
  <si>
    <t xml:space="preserve">V/A_rms</t>
  </si>
  <si>
    <t xml:space="preserve">Tensione concatenata spesa solo per scaldare il rame.</t>
  </si>
  <si>
    <t xml:space="preserve">Coefficiente induttivo</t>
  </si>
  <si>
    <t xml:space="preserve">k_L</t>
  </si>
  <si>
    <t xml:space="preserve">V/(A_rms*rad/s)</t>
  </si>
  <si>
    <t xml:space="preserve">Nullo se L non e stata inserita.</t>
  </si>
  <si>
    <t xml:space="preserve">4.  RISULTATI</t>
  </si>
  <si>
    <t xml:space="preserve">celle di appoggio</t>
  </si>
  <si>
    <t xml:space="preserve">I (A_rms)</t>
  </si>
  <si>
    <t xml:space="preserve">dV_R (V)</t>
  </si>
  <si>
    <t xml:space="preserve">dV_L (V)</t>
  </si>
  <si>
    <t xml:space="preserve">Velocita massima a vuoto</t>
  </si>
  <si>
    <t xml:space="preserve">n_0</t>
  </si>
  <si>
    <t xml:space="preserve">Coppia nulla: tutta la tensione va in BEMF.</t>
  </si>
  <si>
    <t xml:space="preserve">Corrente max imposta dalla tensione (a 0 rpm)</t>
  </si>
  <si>
    <t xml:space="preserve">I_V</t>
  </si>
  <si>
    <t xml:space="preserve">Oltre questa corrente il bus non ce la fa, a qualunque velocita.</t>
  </si>
  <si>
    <t xml:space="preserve">Coppia di stallo da limite di tensione</t>
  </si>
  <si>
    <t xml:space="preserve">Non e un limite termico: e la tensione che finisce.</t>
  </si>
  <si>
    <t xml:space="preserve">Funzionamento di PICCO</t>
  </si>
  <si>
    <t xml:space="preserve">Corrente di picco effettivamente utilizzabile</t>
  </si>
  <si>
    <t xml:space="preserve">Il minore fra limite magneti e limite tensione.</t>
  </si>
  <si>
    <t xml:space="preserve">COPPIA MASSIMA OTTENIBILE</t>
  </si>
  <si>
    <t xml:space="preserve">T_max</t>
  </si>
  <si>
    <t xml:space="preserve">Ulteriormente limitata da Tp.</t>
  </si>
  <si>
    <t xml:space="preserve">Velocita a coppia massima</t>
  </si>
  <si>
    <t xml:space="preserve">Funzionamento CONTINUATIVO</t>
  </si>
  <si>
    <t xml:space="preserve">Corrente continuativa effettivamente utilizzabile</t>
  </si>
  <si>
    <t xml:space="preserve">Il minore fra limite termico e limite tensione.</t>
  </si>
  <si>
    <t xml:space="preserve">COPPIA NOMINALE OTTENIBILE</t>
  </si>
  <si>
    <t xml:space="preserve">T_nom</t>
  </si>
  <si>
    <t xml:space="preserve">Ulteriormente limitata da Tc.</t>
  </si>
  <si>
    <t xml:space="preserve">Velocita a coppia nominale</t>
  </si>
  <si>
    <t xml:space="preserve">Perdite nel rame in questa condizione</t>
  </si>
  <si>
    <t xml:space="preserve">P_cu</t>
  </si>
  <si>
    <t xml:space="preserve">W</t>
  </si>
  <si>
    <t xml:space="preserve">ATTENZIONE: se la riga 50 vale 0, questo e il valore A ROTORE FERMO, il piu alto.</t>
  </si>
  <si>
    <t xml:space="preserve">Capacita termica del motore (a Ic)</t>
  </si>
  <si>
    <t xml:space="preserve">Perdite corrispondenti alla corrente continuativa di targa. Riferimento di confronto.</t>
  </si>
  <si>
    <t xml:space="preserve">Utilizzo termico</t>
  </si>
  <si>
    <t xml:space="preserve">Sopra il 100 % la condizione non e sostenibile.</t>
  </si>
  <si>
    <t xml:space="preserve">Alla velocita di lavoro impostata (riga 22)</t>
  </si>
  <si>
    <t xml:space="preserve">Corrente disponibile alla velocita di lavoro</t>
  </si>
  <si>
    <t xml:space="preserve">Cio che resta del bus dopo aver pagato la BEMF.</t>
  </si>
  <si>
    <t xml:space="preserve">Coppia di picco alla velocita di lavoro</t>
  </si>
  <si>
    <t xml:space="preserve">Coppia continuativa alla velocita di lavoro</t>
  </si>
  <si>
    <t xml:space="preserve">Perdite nel rame alla velocita di lavoro</t>
  </si>
  <si>
    <t xml:space="preserve">3 * I^2 * R_fase, con R_fase = R_ll/2.</t>
  </si>
  <si>
    <t xml:space="preserve">Potenza meccanica alla velocita di lavoro</t>
  </si>
  <si>
    <t xml:space="preserve">P_mecc</t>
  </si>
  <si>
    <t xml:space="preserve">Rendimento alla velocita di lavoro</t>
  </si>
  <si>
    <t xml:space="preserve">eta</t>
  </si>
  <si>
    <t xml:space="preserve">Solo perdite di rame: esclude ferro, correnti parassite e attriti.</t>
  </si>
  <si>
    <t xml:space="preserve">Utilizzo termico alla velocita di lavoro</t>
  </si>
  <si>
    <t xml:space="preserve">Rapporto con la capacita termica della riga 52.</t>
  </si>
  <si>
    <t xml:space="preserve">Verifica: coppia di picco entro Tp</t>
  </si>
  <si>
    <t xml:space="preserve">Verifica: coppia continuativa entro Tc</t>
  </si>
  <si>
    <t xml:space="preserve">5.  CURVA COPPIA / VELOCITA  (limite di tensione)</t>
  </si>
  <si>
    <t xml:space="preserve">Coppia (Nm)</t>
  </si>
  <si>
    <t xml:space="preserve">Corrente (A_rms)</t>
  </si>
  <si>
    <t xml:space="preserve">dV_L (V/(rad/s))</t>
  </si>
  <si>
    <t xml:space="preserve">Velocita (rad/s)</t>
  </si>
  <si>
    <t xml:space="preserve">Velocita (rpm)</t>
  </si>
  <si>
    <t xml:space="preserve">Perdite rame (W)</t>
  </si>
  <si>
    <t xml:space="preserve">P. meccanica (W)</t>
  </si>
  <si>
    <t xml:space="preserve">Rendimento</t>
  </si>
  <si>
    <t xml:space="preserve">LEGENDA</t>
  </si>
  <si>
    <t xml:space="preserve">Celle GIALLE con testo BLU = dati da inserire (righe 6-14 e 18-23). Tutto il resto e calcolato.</t>
  </si>
  <si>
    <t xml:space="preserve">I valori precaricati sono un esempio reale: MRT03-II17N alimentato a 24 Vdc.</t>
  </si>
  <si>
    <t xml:space="preserve">Le colonne G-I contengono celle di appoggio: non modificarle.</t>
  </si>
  <si>
    <t xml:space="preserve">Ipotesi e formule sono documentate nel foglio Note.</t>
  </si>
  <si>
    <t xml:space="preserve">IPOTESI DEL MODELLO E FORMULE USATE</t>
  </si>
  <si>
    <t xml:space="preserve">1. Costante di BEMF</t>
  </si>
  <si>
    <t xml:space="preserve">Con controllo vettoriale a Id = 0 la corrente e in fase con la BEMF, quindi P = 3*E_fase*I_fase.</t>
  </si>
  <si>
    <t xml:space="preserve">Uguagliando alla potenza meccanica T*w:  T = 3*Ke_fase*I  e siccome T = Kt*I  -&gt;  Ke_fase = Kt/3.</t>
  </si>
  <si>
    <t xml:space="preserve">In stella la concatenata e SQRT(3) volte quella di fase:  Ke_ll = SQRT(3)*Kt/3 = Kt/SQRT(3).</t>
  </si>
  <si>
    <t xml:space="preserve">Vale se Kt e espressa in Nm per ampere RMS DI FASE. Se il costruttore la da in A di picco,</t>
  </si>
  <si>
    <t xml:space="preserve">dividere Kt per SQRT(2) prima di inserirla.</t>
  </si>
  <si>
    <t xml:space="preserve">2. Tensione disponibile</t>
  </si>
  <si>
    <t xml:space="preserve">Con SVM o iniezione di terza armonica l'inverter produce al massimo V_ll_rms = Vdc/SQRT(2) = 0,707*Vdc.</t>
  </si>
  <si>
    <t xml:space="preserve">Con PWM sinusoidale puro il limite scende a Vdc*SQRT(3)/(2*SQRT(2)) = 0,612*Vdc.</t>
  </si>
  <si>
    <t xml:space="preserve">Dal risultato si sottrae la caduta di conduzione del ponte (riga 20).</t>
  </si>
  <si>
    <t xml:space="preserve">3. Bilancio di tensione</t>
  </si>
  <si>
    <t xml:space="preserve">La caduta resistiva e in fase con la BEMF, quella induttiva in quadratura, quindi si sommano</t>
  </si>
  <si>
    <t xml:space="preserve">vettorialmente:   V_ll^2 = (Ke_ll*w + k_R*I)^2 + (k_L*I*w)^2</t>
  </si>
  <si>
    <t xml:space="preserve">con  k_R = SQRT(3)*R_ll/2   e   k_L = SQRT(3)*p*L_ll/2.</t>
  </si>
  <si>
    <t xml:space="preserve">Il foglio risolve questa equazione di secondo grado in w (nota la coppia) oppure in I (nota w).</t>
  </si>
  <si>
    <t xml:space="preserve">Con L = 0 si riduce al modello puramente resistivo, adeguato a bassa velocita.</t>
  </si>
  <si>
    <t xml:space="preserve">4. Convenzione su Km</t>
  </si>
  <si>
    <t xml:space="preserve">Non esiste una definizione unica di costante motore. Le due piu diffuse sono:</t>
  </si>
  <si>
    <t xml:space="preserve">   k_conv = 1     -&gt;  Km = Kt^2 / R_ll          (resistenza concatenata)</t>
  </si>
  <si>
    <t xml:space="preserve">   k_conv = 1,5   -&gt;  Km = Kt^2 / (3*R_fase)    (somma delle tre fasi)</t>
  </si>
  <si>
    <t xml:space="preserve">La seconda produce una R_ll circa il 33 % piu bassa, quindi prestazioni migliori.</t>
  </si>
  <si>
    <t xml:space="preserve">Se il datasheet non lo dichiara, chiedere R e L in chiaro al costruttore e compilare la riga 8.</t>
  </si>
  <si>
    <t xml:space="preserve">5. Resistenza e temperatura</t>
  </si>
  <si>
    <t xml:space="preserve">R(T) = R(25) * (1 + 0,00393*(T-25)). A 120 C la resistenza e circa il 37 % piu alta che a 25 C:</t>
  </si>
  <si>
    <t xml:space="preserve">verificare sempre il caso caldo, non solo quello freddo.</t>
  </si>
  <si>
    <t xml:space="preserve">6. Cosa il foglio NON considera</t>
  </si>
  <si>
    <t xml:space="preserve">- Perdite nel ferro, correnti parassite e attriti: il rendimento calcolato e solo quello di rame</t>
  </si>
  <si>
    <t xml:space="preserve">  ed e quindi ottimistico.</t>
  </si>
  <si>
    <t xml:space="preserve">- Deflussaggio (Id negativa): permetterebbe di superare la velocita a vuoto a scapito della coppia.</t>
  </si>
  <si>
    <t xml:space="preserve">- Limiti di corrente del drive, che spesso sono piu stringenti di quelli del motore.</t>
  </si>
  <si>
    <t xml:space="preserve">- Il transitorio termico: Ic e un valore a regime, per tempi brevi si puo superare.</t>
  </si>
  <si>
    <t xml:space="preserve">7. Fonte dei valori precaricati</t>
  </si>
  <si>
    <t xml:space="preserve">Datasheet MRT03 - MRT SERIES (Sinadrive), pagina 8, colonna avvolgimento II17N.</t>
  </si>
  <si>
    <t xml:space="preserve">Kt = 0,36 Nm/A_rms; Km = 0,025 (Nm)^2/W; Ip = 13,1 A; Ic = 4,7 A; Tp = 3,5 Nm; Tc = 1,7 Nm; 20 poli.</t>
  </si>
  <si>
    <t xml:space="preserve">R e L non sono dichiarate nel datasheet: la R usata di default e ricavata da Km.</t>
  </si>
  <si>
    <t xml:space="preserve">MRT03 - dati di catalogo dei tre avvolgimenti</t>
  </si>
  <si>
    <t xml:space="preserve">Da copiare nelle celle gialle del foglio Calcolo.</t>
  </si>
  <si>
    <t xml:space="preserve">II17N</t>
  </si>
  <si>
    <t xml:space="preserve">II25N</t>
  </si>
  <si>
    <t xml:space="preserve">II34N</t>
  </si>
  <si>
    <t xml:space="preserve">Coppia di picco Tp (Nm)</t>
  </si>
  <si>
    <t xml:space="preserve">Coppia continuativa Tc (Nm)</t>
  </si>
  <si>
    <t xml:space="preserve">Costante di coppia Kt (Nm/A_rms)</t>
  </si>
  <si>
    <t xml:space="preserve">Costante motore Km ((Nm)^2/W)</t>
  </si>
  <si>
    <t xml:space="preserve">Corrente di picco Ip (A_rms)</t>
  </si>
  <si>
    <t xml:space="preserve">Corrente continuativa Ic (A_rms) - vers. S</t>
  </si>
  <si>
    <t xml:space="preserve">Velocita max a 320 Vdc (rpm)</t>
  </si>
  <si>
    <t xml:space="preserve">Nota: per il II25N il datasheet riporta 14 A_rms nella versione A (housing speciale).</t>
  </si>
  <si>
    <t xml:space="preserve">Il valore supera la corrente di picco dichiarata (13,7 A) e non e coerente con Tc/Kt = 5,3 A:</t>
  </si>
  <si>
    <t xml:space="preserve">va confermato dal costruttore prima di dimensionarci sopra.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</si>
</sst>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0"/>
    <numFmt numFmtId="166" formatCode="0.0000"/>
    <numFmt numFmtId="167" formatCode="0.00"/>
    <numFmt numFmtId="168" formatCode="0"/>
    <numFmt numFmtId="169" formatCode="0.0"/>
    <numFmt numFmtId="170" formatCode="0.00000"/>
    <numFmt numFmtId="171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04040"/>
        <bgColor rgb="FF333300"/>
      </patternFill>
    </fill>
    <fill>
      <patternFill patternType="solid">
        <fgColor rgb="FFD9D9D9"/>
        <bgColor rgb="FFF2F2F2"/>
      </patternFill>
    </fill>
    <fill>
      <patternFill patternType="solid">
        <fgColor rgb="FFFFFF99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Curva coppia / velocita al limite di tensione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Calcolo!F67</c:f>
              <c:strCache>
                <c:ptCount val="1"/>
                <c:pt idx="0">
                  <c:v>Velocita (rpm)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Calcolo!$A$68:$A$88</c:f>
              <c:numCache>
                <c:formatCode>0.000</c:formatCode>
                <c:ptCount val="21"/>
                <c:pt idx="0">
                  <c:v>0</c:v>
                </c:pt>
                <c:pt idx="1">
                  <c:v>0.0680311067195109</c:v>
                </c:pt>
                <c:pt idx="2">
                  <c:v>0.136062213439022</c:v>
                </c:pt>
                <c:pt idx="3">
                  <c:v>0.204093320158533</c:v>
                </c:pt>
                <c:pt idx="4">
                  <c:v>0.272124426878044</c:v>
                </c:pt>
                <c:pt idx="5">
                  <c:v>0.340155533597555</c:v>
                </c:pt>
                <c:pt idx="6">
                  <c:v>0.408186640317065</c:v>
                </c:pt>
                <c:pt idx="7">
                  <c:v>0.476217747036576</c:v>
                </c:pt>
                <c:pt idx="8">
                  <c:v>0.544248853756087</c:v>
                </c:pt>
                <c:pt idx="9">
                  <c:v>0.612279960475598</c:v>
                </c:pt>
                <c:pt idx="10">
                  <c:v>0.680311067195109</c:v>
                </c:pt>
                <c:pt idx="11">
                  <c:v>0.74834217391462</c:v>
                </c:pt>
                <c:pt idx="12">
                  <c:v>0.816373280634131</c:v>
                </c:pt>
                <c:pt idx="13">
                  <c:v>0.884404387353642</c:v>
                </c:pt>
                <c:pt idx="14">
                  <c:v>0.952435494073153</c:v>
                </c:pt>
                <c:pt idx="15">
                  <c:v>1.02046660079266</c:v>
                </c:pt>
                <c:pt idx="16">
                  <c:v>1.08849770751217</c:v>
                </c:pt>
                <c:pt idx="17">
                  <c:v>1.15652881423169</c:v>
                </c:pt>
                <c:pt idx="18">
                  <c:v>1.2245599209512</c:v>
                </c:pt>
                <c:pt idx="19">
                  <c:v>1.29259102767071</c:v>
                </c:pt>
                <c:pt idx="20">
                  <c:v>1.36062213439022</c:v>
                </c:pt>
              </c:numCache>
            </c:numRef>
          </c:xVal>
          <c:yVal>
            <c:numRef>
              <c:f>Calcolo!$F$68:$F$88</c:f>
              <c:numCache>
                <c:formatCode>0</c:formatCode>
                <c:ptCount val="21"/>
                <c:pt idx="0">
                  <c:v>779.579058126414</c:v>
                </c:pt>
                <c:pt idx="1">
                  <c:v>740.600105220093</c:v>
                </c:pt>
                <c:pt idx="2">
                  <c:v>701.621152313772</c:v>
                </c:pt>
                <c:pt idx="3">
                  <c:v>662.642199407452</c:v>
                </c:pt>
                <c:pt idx="4">
                  <c:v>623.663246501131</c:v>
                </c:pt>
                <c:pt idx="5">
                  <c:v>584.684293594811</c:v>
                </c:pt>
                <c:pt idx="6">
                  <c:v>545.70534068849</c:v>
                </c:pt>
                <c:pt idx="7">
                  <c:v>506.726387782169</c:v>
                </c:pt>
                <c:pt idx="8">
                  <c:v>467.747434875849</c:v>
                </c:pt>
                <c:pt idx="9">
                  <c:v>428.768481969528</c:v>
                </c:pt>
                <c:pt idx="10">
                  <c:v>389.789529063207</c:v>
                </c:pt>
                <c:pt idx="11">
                  <c:v>350.810576156886</c:v>
                </c:pt>
                <c:pt idx="12">
                  <c:v>311.831623250566</c:v>
                </c:pt>
                <c:pt idx="13">
                  <c:v>272.852670344245</c:v>
                </c:pt>
                <c:pt idx="14">
                  <c:v>233.873717437924</c:v>
                </c:pt>
                <c:pt idx="15">
                  <c:v>194.894764531604</c:v>
                </c:pt>
                <c:pt idx="16">
                  <c:v>155.915811625283</c:v>
                </c:pt>
                <c:pt idx="17">
                  <c:v>116.936858718962</c:v>
                </c:pt>
                <c:pt idx="18">
                  <c:v>77.9579058126415</c:v>
                </c:pt>
                <c:pt idx="19">
                  <c:v>38.9789529063208</c:v>
                </c:pt>
                <c:pt idx="20">
                  <c:v>0</c:v>
                </c:pt>
              </c:numCache>
            </c:numRef>
          </c:yVal>
          <c:smooth val="1"/>
        </c:ser>
        <c:axId val="72063787"/>
        <c:axId val="96529521"/>
      </c:scatterChart>
      <c:valAx>
        <c:axId val="7206378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Coppia (Nm)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529521"/>
        <c:crosses val="autoZero"/>
        <c:crossBetween val="midCat"/>
      </c:valAx>
      <c:valAx>
        <c:axId val="9652952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Velocita (rpm)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063787"/>
        <c:crosses val="autoZero"/>
        <c:crossBetween val="midCat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3</xdr:row>
      <xdr:rowOff>160920</xdr:rowOff>
    </xdr:from>
    <xdr:to>
      <xdr:col>19</xdr:col>
      <xdr:colOff>255600</xdr:colOff>
      <xdr:row>20</xdr:row>
      <xdr:rowOff>161640</xdr:rowOff>
    </xdr:to>
    <xdr:graphicFrame>
      <xdr:nvGraphicFramePr>
        <xdr:cNvPr id="0" name="Chart 1"/>
        <xdr:cNvGraphicFramePr/>
      </xdr:nvGraphicFramePr>
      <xdr:xfrm>
        <a:off x="12030120" y="761040"/>
        <a:ext cx="575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0"/>
    <col collapsed="false" customWidth="true" hidden="false" outlineLevel="0" max="4" min="3" style="1" width="13"/>
    <col collapsed="false" customWidth="true" hidden="false" outlineLevel="0" max="5" min="5" style="1" width="46"/>
    <col collapsed="false" customWidth="true" hidden="false" outlineLevel="0" max="6" min="6" style="1" width="3"/>
    <col collapsed="false" customWidth="true" hidden="false" outlineLevel="0" max="9" min="7" style="1" width="11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4"/>
      <c r="C4" s="4"/>
      <c r="D4" s="4"/>
      <c r="E4" s="4"/>
    </row>
    <row r="5" customFormat="false" ht="1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customFormat="false" ht="15" hidden="false" customHeight="true" outlineLevel="0" collapsed="false">
      <c r="A6" s="6" t="s">
        <v>8</v>
      </c>
      <c r="B6" s="6" t="s">
        <v>9</v>
      </c>
      <c r="C6" s="7" t="n">
        <v>0.36</v>
      </c>
      <c r="D6" s="8" t="s">
        <v>10</v>
      </c>
      <c r="E6" s="9" t="s">
        <v>11</v>
      </c>
    </row>
    <row r="7" customFormat="false" ht="15" hidden="false" customHeight="true" outlineLevel="0" collapsed="false">
      <c r="A7" s="6" t="s">
        <v>12</v>
      </c>
      <c r="B7" s="6" t="s">
        <v>13</v>
      </c>
      <c r="C7" s="10" t="n">
        <v>0.025</v>
      </c>
      <c r="D7" s="8" t="s">
        <v>14</v>
      </c>
      <c r="E7" s="9" t="s">
        <v>15</v>
      </c>
    </row>
    <row r="8" customFormat="false" ht="15" hidden="false" customHeight="true" outlineLevel="0" collapsed="false">
      <c r="A8" s="6" t="s">
        <v>16</v>
      </c>
      <c r="B8" s="6" t="s">
        <v>17</v>
      </c>
      <c r="C8" s="7"/>
      <c r="D8" s="8" t="s">
        <v>18</v>
      </c>
      <c r="E8" s="9" t="s">
        <v>19</v>
      </c>
    </row>
    <row r="9" customFormat="false" ht="15" hidden="false" customHeight="true" outlineLevel="0" collapsed="false">
      <c r="A9" s="6" t="s">
        <v>20</v>
      </c>
      <c r="B9" s="6" t="s">
        <v>21</v>
      </c>
      <c r="C9" s="11" t="n">
        <v>0</v>
      </c>
      <c r="D9" s="8" t="s">
        <v>22</v>
      </c>
      <c r="E9" s="9" t="s">
        <v>23</v>
      </c>
    </row>
    <row r="10" customFormat="false" ht="15" hidden="false" customHeight="true" outlineLevel="0" collapsed="false">
      <c r="A10" s="6" t="s">
        <v>24</v>
      </c>
      <c r="B10" s="6" t="s">
        <v>25</v>
      </c>
      <c r="C10" s="12" t="n">
        <v>20</v>
      </c>
      <c r="D10" s="8" t="s">
        <v>26</v>
      </c>
      <c r="E10" s="9" t="s">
        <v>27</v>
      </c>
    </row>
    <row r="11" customFormat="false" ht="15" hidden="false" customHeight="true" outlineLevel="0" collapsed="false">
      <c r="A11" s="6" t="s">
        <v>28</v>
      </c>
      <c r="B11" s="6" t="s">
        <v>29</v>
      </c>
      <c r="C11" s="13" t="n">
        <v>13.1</v>
      </c>
      <c r="D11" s="8" t="s">
        <v>30</v>
      </c>
      <c r="E11" s="9" t="s">
        <v>31</v>
      </c>
    </row>
    <row r="12" customFormat="false" ht="15" hidden="false" customHeight="true" outlineLevel="0" collapsed="false">
      <c r="A12" s="6" t="s">
        <v>32</v>
      </c>
      <c r="B12" s="6" t="s">
        <v>33</v>
      </c>
      <c r="C12" s="13" t="n">
        <v>4.7</v>
      </c>
      <c r="D12" s="8" t="s">
        <v>30</v>
      </c>
      <c r="E12" s="9" t="s">
        <v>34</v>
      </c>
    </row>
    <row r="13" customFormat="false" ht="15" hidden="false" customHeight="true" outlineLevel="0" collapsed="false">
      <c r="A13" s="6" t="s">
        <v>35</v>
      </c>
      <c r="B13" s="6" t="s">
        <v>36</v>
      </c>
      <c r="C13" s="11" t="n">
        <v>3.5</v>
      </c>
      <c r="D13" s="8" t="s">
        <v>37</v>
      </c>
      <c r="E13" s="9"/>
    </row>
    <row r="14" customFormat="false" ht="15" hidden="false" customHeight="true" outlineLevel="0" collapsed="false">
      <c r="A14" s="6" t="s">
        <v>38</v>
      </c>
      <c r="B14" s="6" t="s">
        <v>39</v>
      </c>
      <c r="C14" s="11" t="n">
        <v>1.7</v>
      </c>
      <c r="D14" s="8" t="s">
        <v>37</v>
      </c>
      <c r="E14" s="9"/>
    </row>
    <row r="16" customFormat="false" ht="15" hidden="false" customHeight="true" outlineLevel="0" collapsed="false">
      <c r="A16" s="4" t="s">
        <v>40</v>
      </c>
      <c r="B16" s="4"/>
      <c r="C16" s="4"/>
      <c r="D16" s="4"/>
      <c r="E16" s="4"/>
    </row>
    <row r="17" customFormat="false" ht="15" hidden="false" customHeight="true" outlineLevel="0" collapsed="false">
      <c r="A17" s="5" t="s">
        <v>3</v>
      </c>
      <c r="B17" s="5" t="s">
        <v>4</v>
      </c>
      <c r="C17" s="5" t="s">
        <v>5</v>
      </c>
      <c r="D17" s="5" t="s">
        <v>6</v>
      </c>
      <c r="E17" s="5" t="s">
        <v>7</v>
      </c>
    </row>
    <row r="18" customFormat="false" ht="15" hidden="false" customHeight="true" outlineLevel="0" collapsed="false">
      <c r="A18" s="6" t="s">
        <v>41</v>
      </c>
      <c r="B18" s="6" t="s">
        <v>42</v>
      </c>
      <c r="C18" s="13" t="n">
        <v>24</v>
      </c>
      <c r="D18" s="8" t="s">
        <v>43</v>
      </c>
      <c r="E18" s="9"/>
    </row>
    <row r="19" customFormat="false" ht="15" hidden="false" customHeight="true" outlineLevel="0" collapsed="false">
      <c r="A19" s="6" t="s">
        <v>44</v>
      </c>
      <c r="B19" s="6" t="s">
        <v>45</v>
      </c>
      <c r="C19" s="7" t="n">
        <v>0.707</v>
      </c>
      <c r="D19" s="8" t="s">
        <v>46</v>
      </c>
      <c r="E19" s="9" t="s">
        <v>47</v>
      </c>
    </row>
    <row r="20" customFormat="false" ht="15" hidden="false" customHeight="true" outlineLevel="0" collapsed="false">
      <c r="A20" s="6" t="s">
        <v>48</v>
      </c>
      <c r="B20" s="6" t="s">
        <v>49</v>
      </c>
      <c r="C20" s="13" t="n">
        <v>0</v>
      </c>
      <c r="D20" s="8" t="s">
        <v>43</v>
      </c>
      <c r="E20" s="9" t="s">
        <v>50</v>
      </c>
    </row>
    <row r="21" customFormat="false" ht="15" hidden="false" customHeight="true" outlineLevel="0" collapsed="false">
      <c r="A21" s="6" t="s">
        <v>51</v>
      </c>
      <c r="B21" s="6" t="s">
        <v>52</v>
      </c>
      <c r="C21" s="12" t="n">
        <v>25</v>
      </c>
      <c r="D21" s="8" t="s">
        <v>53</v>
      </c>
      <c r="E21" s="9" t="s">
        <v>54</v>
      </c>
    </row>
    <row r="22" customFormat="false" ht="15" hidden="false" customHeight="true" outlineLevel="0" collapsed="false">
      <c r="A22" s="6" t="s">
        <v>55</v>
      </c>
      <c r="B22" s="6" t="s">
        <v>56</v>
      </c>
      <c r="C22" s="12" t="n">
        <v>150</v>
      </c>
      <c r="D22" s="8" t="s">
        <v>57</v>
      </c>
      <c r="E22" s="9" t="s">
        <v>58</v>
      </c>
    </row>
    <row r="23" customFormat="false" ht="15" hidden="false" customHeight="true" outlineLevel="0" collapsed="false">
      <c r="A23" s="6" t="s">
        <v>59</v>
      </c>
      <c r="B23" s="6" t="s">
        <v>60</v>
      </c>
      <c r="C23" s="13" t="n">
        <v>1</v>
      </c>
      <c r="D23" s="8" t="s">
        <v>46</v>
      </c>
      <c r="E23" s="9" t="s">
        <v>61</v>
      </c>
    </row>
    <row r="25" customFormat="false" ht="15" hidden="false" customHeight="true" outlineLevel="0" collapsed="false">
      <c r="A25" s="4" t="s">
        <v>62</v>
      </c>
      <c r="B25" s="4"/>
      <c r="C25" s="4"/>
      <c r="D25" s="4"/>
      <c r="E25" s="4"/>
    </row>
    <row r="26" customFormat="false" ht="15" hidden="false" customHeight="true" outlineLevel="0" collapsed="false">
      <c r="A26" s="5" t="s">
        <v>3</v>
      </c>
      <c r="B26" s="5" t="s">
        <v>4</v>
      </c>
      <c r="C26" s="5" t="s">
        <v>5</v>
      </c>
      <c r="D26" s="5" t="s">
        <v>6</v>
      </c>
      <c r="E26" s="5" t="s">
        <v>7</v>
      </c>
    </row>
    <row r="27" customFormat="false" ht="15" hidden="false" customHeight="true" outlineLevel="0" collapsed="false">
      <c r="A27" s="6" t="s">
        <v>63</v>
      </c>
      <c r="B27" s="6" t="s">
        <v>64</v>
      </c>
      <c r="C27" s="14" t="n">
        <f aca="false">C6/SQRT(3)</f>
        <v>0.207846096908265</v>
      </c>
      <c r="D27" s="8" t="s">
        <v>65</v>
      </c>
      <c r="E27" s="9" t="s">
        <v>66</v>
      </c>
    </row>
    <row r="28" customFormat="false" ht="15" hidden="false" customHeight="true" outlineLevel="0" collapsed="false">
      <c r="A28" s="6" t="s">
        <v>67</v>
      </c>
      <c r="B28" s="6" t="s">
        <v>68</v>
      </c>
      <c r="C28" s="15" t="n">
        <f aca="false">C10/2</f>
        <v>10</v>
      </c>
      <c r="D28" s="8" t="s">
        <v>26</v>
      </c>
      <c r="E28" s="9"/>
    </row>
    <row r="29" customFormat="false" ht="15" hidden="false" customHeight="true" outlineLevel="0" collapsed="false">
      <c r="A29" s="6" t="s">
        <v>69</v>
      </c>
      <c r="B29" s="6"/>
      <c r="C29" s="16" t="n">
        <f aca="false">IF(C7&gt;0,C6^2/(C23*C7),0)</f>
        <v>5.184</v>
      </c>
      <c r="D29" s="8" t="s">
        <v>18</v>
      </c>
      <c r="E29" s="9" t="s">
        <v>70</v>
      </c>
    </row>
    <row r="30" customFormat="false" ht="15" hidden="false" customHeight="true" outlineLevel="0" collapsed="false">
      <c r="A30" s="6" t="s">
        <v>71</v>
      </c>
      <c r="B30" s="6"/>
      <c r="C30" s="16" t="n">
        <f aca="false">IF(C8&gt;0,C8,C29)</f>
        <v>5.184</v>
      </c>
      <c r="D30" s="8" t="s">
        <v>18</v>
      </c>
      <c r="E30" s="9" t="s">
        <v>72</v>
      </c>
    </row>
    <row r="31" customFormat="false" ht="15" hidden="false" customHeight="true" outlineLevel="0" collapsed="false">
      <c r="A31" s="6" t="s">
        <v>73</v>
      </c>
      <c r="B31" s="6" t="s">
        <v>74</v>
      </c>
      <c r="C31" s="16" t="n">
        <f aca="false">C30*(1+0.00393*(C21-25))</f>
        <v>5.184</v>
      </c>
      <c r="D31" s="8" t="s">
        <v>18</v>
      </c>
      <c r="E31" s="9"/>
    </row>
    <row r="32" customFormat="false" ht="15" hidden="false" customHeight="true" outlineLevel="0" collapsed="false">
      <c r="A32" s="6" t="s">
        <v>75</v>
      </c>
      <c r="B32" s="6" t="s">
        <v>76</v>
      </c>
      <c r="C32" s="17" t="n">
        <f aca="false">MAX(0,C18*C19-C20)</f>
        <v>16.968</v>
      </c>
      <c r="D32" s="8" t="s">
        <v>77</v>
      </c>
      <c r="E32" s="9" t="s">
        <v>78</v>
      </c>
    </row>
    <row r="33" customFormat="false" ht="15" hidden="false" customHeight="true" outlineLevel="0" collapsed="false">
      <c r="A33" s="6" t="s">
        <v>79</v>
      </c>
      <c r="B33" s="6" t="s">
        <v>80</v>
      </c>
      <c r="C33" s="16" t="n">
        <f aca="false">SQRT(3)*C31/2</f>
        <v>4.48947569321853</v>
      </c>
      <c r="D33" s="8" t="s">
        <v>81</v>
      </c>
      <c r="E33" s="9" t="s">
        <v>82</v>
      </c>
    </row>
    <row r="34" customFormat="false" ht="15" hidden="false" customHeight="true" outlineLevel="0" collapsed="false">
      <c r="A34" s="6" t="s">
        <v>83</v>
      </c>
      <c r="B34" s="6" t="s">
        <v>84</v>
      </c>
      <c r="C34" s="18" t="n">
        <f aca="false">SQRT(3)*C28*(C9/1000)/2</f>
        <v>0</v>
      </c>
      <c r="D34" s="8" t="s">
        <v>85</v>
      </c>
      <c r="E34" s="9" t="s">
        <v>86</v>
      </c>
    </row>
    <row r="36" customFormat="false" ht="15" hidden="false" customHeight="true" outlineLevel="0" collapsed="false">
      <c r="A36" s="4" t="s">
        <v>87</v>
      </c>
      <c r="B36" s="4"/>
      <c r="C36" s="4"/>
      <c r="D36" s="4"/>
      <c r="E36" s="4"/>
      <c r="G36" s="19" t="s">
        <v>88</v>
      </c>
    </row>
    <row r="37" customFormat="false" ht="15" hidden="false" customHeight="true" outlineLevel="0" collapsed="false">
      <c r="A37" s="5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G37" s="5" t="s">
        <v>89</v>
      </c>
      <c r="H37" s="5" t="s">
        <v>90</v>
      </c>
      <c r="I37" s="5" t="s">
        <v>91</v>
      </c>
    </row>
    <row r="38" customFormat="false" ht="15" hidden="false" customHeight="true" outlineLevel="0" collapsed="false">
      <c r="A38" s="20" t="s">
        <v>92</v>
      </c>
      <c r="B38" s="6" t="s">
        <v>93</v>
      </c>
      <c r="C38" s="21" t="n">
        <f aca="false">C32/C27*60/(2*PI())</f>
        <v>779.579058126414</v>
      </c>
      <c r="D38" s="8" t="s">
        <v>57</v>
      </c>
      <c r="E38" s="9" t="s">
        <v>94</v>
      </c>
    </row>
    <row r="39" customFormat="false" ht="15" hidden="false" customHeight="true" outlineLevel="0" collapsed="false">
      <c r="A39" s="6" t="s">
        <v>95</v>
      </c>
      <c r="B39" s="6" t="s">
        <v>96</v>
      </c>
      <c r="C39" s="17" t="n">
        <f aca="false">C32/C33</f>
        <v>3.77950592886172</v>
      </c>
      <c r="D39" s="8" t="s">
        <v>30</v>
      </c>
      <c r="E39" s="9" t="s">
        <v>97</v>
      </c>
    </row>
    <row r="40" customFormat="false" ht="15" hidden="false" customHeight="true" outlineLevel="0" collapsed="false">
      <c r="A40" s="6" t="s">
        <v>98</v>
      </c>
      <c r="B40" s="6"/>
      <c r="C40" s="17" t="n">
        <f aca="false">C39*C6</f>
        <v>1.36062213439022</v>
      </c>
      <c r="D40" s="8" t="s">
        <v>37</v>
      </c>
      <c r="E40" s="9" t="s">
        <v>99</v>
      </c>
    </row>
    <row r="42" customFormat="false" ht="15" hidden="false" customHeight="true" outlineLevel="0" collapsed="false">
      <c r="A42" s="22" t="s">
        <v>100</v>
      </c>
    </row>
    <row r="43" customFormat="false" ht="15" hidden="false" customHeight="true" outlineLevel="0" collapsed="false">
      <c r="A43" s="6" t="s">
        <v>101</v>
      </c>
      <c r="B43" s="6"/>
      <c r="C43" s="17" t="n">
        <f aca="false">MIN(C11,C39)</f>
        <v>3.77950592886172</v>
      </c>
      <c r="D43" s="8" t="s">
        <v>30</v>
      </c>
      <c r="E43" s="9" t="s">
        <v>102</v>
      </c>
    </row>
    <row r="44" customFormat="false" ht="15" hidden="false" customHeight="true" outlineLevel="0" collapsed="false">
      <c r="A44" s="20" t="s">
        <v>103</v>
      </c>
      <c r="B44" s="6" t="s">
        <v>104</v>
      </c>
      <c r="C44" s="23" t="n">
        <f aca="false">MIN(C43*C6,C13)</f>
        <v>1.36062213439022</v>
      </c>
      <c r="D44" s="8" t="s">
        <v>37</v>
      </c>
      <c r="E44" s="9" t="s">
        <v>105</v>
      </c>
      <c r="G44" s="24" t="n">
        <f aca="false">C44/$C$6</f>
        <v>3.77950592886172</v>
      </c>
      <c r="H44" s="25" t="n">
        <f aca="false">G44*$C$33</f>
        <v>16.968</v>
      </c>
      <c r="I44" s="26" t="n">
        <f aca="false">G44*$C$34</f>
        <v>0</v>
      </c>
    </row>
    <row r="45" customFormat="false" ht="15" hidden="false" customHeight="true" outlineLevel="0" collapsed="false">
      <c r="A45" s="6" t="s">
        <v>106</v>
      </c>
      <c r="B45" s="6"/>
      <c r="C45" s="15" t="n">
        <f aca="false">IF(H44&gt;=$C$32,0,(-$C$27*H44+SQRT($C$27^2*H44^2-($C$27^2+I44^2)*(H44^2-$C$32^2)))/($C$27^2+I44^2))*60/(2*PI())</f>
        <v>0</v>
      </c>
      <c r="D45" s="8" t="s">
        <v>57</v>
      </c>
      <c r="E45" s="9"/>
    </row>
    <row r="47" customFormat="false" ht="15" hidden="false" customHeight="true" outlineLevel="0" collapsed="false">
      <c r="A47" s="22" t="s">
        <v>107</v>
      </c>
    </row>
    <row r="48" customFormat="false" ht="15" hidden="false" customHeight="true" outlineLevel="0" collapsed="false">
      <c r="A48" s="6" t="s">
        <v>108</v>
      </c>
      <c r="B48" s="6"/>
      <c r="C48" s="17" t="n">
        <f aca="false">MIN(C12,C39)</f>
        <v>3.77950592886172</v>
      </c>
      <c r="D48" s="8" t="s">
        <v>30</v>
      </c>
      <c r="E48" s="9" t="s">
        <v>109</v>
      </c>
    </row>
    <row r="49" customFormat="false" ht="15" hidden="false" customHeight="true" outlineLevel="0" collapsed="false">
      <c r="A49" s="20" t="s">
        <v>110</v>
      </c>
      <c r="B49" s="6" t="s">
        <v>111</v>
      </c>
      <c r="C49" s="23" t="n">
        <f aca="false">MIN(C48*C6,C14)</f>
        <v>1.36062213439022</v>
      </c>
      <c r="D49" s="8" t="s">
        <v>37</v>
      </c>
      <c r="E49" s="9" t="s">
        <v>112</v>
      </c>
      <c r="G49" s="24" t="n">
        <f aca="false">C49/$C$6</f>
        <v>3.77950592886172</v>
      </c>
      <c r="H49" s="25" t="n">
        <f aca="false">G49*$C$33</f>
        <v>16.968</v>
      </c>
      <c r="I49" s="26" t="n">
        <f aca="false">G49*$C$34</f>
        <v>0</v>
      </c>
    </row>
    <row r="50" customFormat="false" ht="15" hidden="false" customHeight="true" outlineLevel="0" collapsed="false">
      <c r="A50" s="6" t="s">
        <v>113</v>
      </c>
      <c r="B50" s="6"/>
      <c r="C50" s="15" t="n">
        <f aca="false">IF(H49&gt;=$C$32,0,(-$C$27*H49+SQRT($C$27^2*H49^2-($C$27^2+I49^2)*(H49^2-$C$32^2)))/($C$27^2+I49^2))*60/(2*PI())</f>
        <v>0</v>
      </c>
      <c r="D50" s="8" t="s">
        <v>57</v>
      </c>
      <c r="E50" s="9"/>
    </row>
    <row r="51" customFormat="false" ht="15" hidden="false" customHeight="true" outlineLevel="0" collapsed="false">
      <c r="A51" s="6" t="s">
        <v>114</v>
      </c>
      <c r="B51" s="6" t="s">
        <v>115</v>
      </c>
      <c r="C51" s="27" t="n">
        <f aca="false">1.5*G49^2*C31</f>
        <v>111.077555555556</v>
      </c>
      <c r="D51" s="8" t="s">
        <v>116</v>
      </c>
      <c r="E51" s="9" t="s">
        <v>117</v>
      </c>
    </row>
    <row r="52" customFormat="false" ht="15" hidden="false" customHeight="true" outlineLevel="0" collapsed="false">
      <c r="A52" s="6" t="s">
        <v>118</v>
      </c>
      <c r="B52" s="6"/>
      <c r="C52" s="27" t="n">
        <f aca="false">1.5*C12^2*C31</f>
        <v>171.77184</v>
      </c>
      <c r="D52" s="8" t="s">
        <v>116</v>
      </c>
      <c r="E52" s="9" t="s">
        <v>119</v>
      </c>
    </row>
    <row r="53" customFormat="false" ht="15" hidden="false" customHeight="true" outlineLevel="0" collapsed="false">
      <c r="A53" s="6" t="s">
        <v>120</v>
      </c>
      <c r="B53" s="6"/>
      <c r="C53" s="28" t="n">
        <f aca="false">IF(C52&gt;0,C51/C52,0)</f>
        <v>0.646657540348613</v>
      </c>
      <c r="D53" s="8" t="s">
        <v>46</v>
      </c>
      <c r="E53" s="9" t="s">
        <v>121</v>
      </c>
    </row>
    <row r="55" customFormat="false" ht="15" hidden="false" customHeight="true" outlineLevel="0" collapsed="false">
      <c r="A55" s="22" t="s">
        <v>122</v>
      </c>
    </row>
    <row r="56" customFormat="false" ht="15" hidden="false" customHeight="true" outlineLevel="0" collapsed="false">
      <c r="A56" s="6" t="s">
        <v>123</v>
      </c>
      <c r="B56" s="6"/>
      <c r="C56" s="17" t="n">
        <f aca="false">IF($C$27*(C22*2*PI()/60)&gt;=$C$32,0,(-2*$C$27*(C22*2*PI()/60)*$C$33+SQRT((2*$C$27*(C22*2*PI()/60)*$C$33)^2-4*($C$33^2+($C$34*(C22*2*PI()/60))^2)*(($C$27*(C22*2*PI()/60))^2-$C$32^2)))/(2*($C$33^2+($C$34*(C22*2*PI()/60))^2)))</f>
        <v>3.05228540719741</v>
      </c>
      <c r="D56" s="8" t="s">
        <v>30</v>
      </c>
      <c r="E56" s="9" t="s">
        <v>124</v>
      </c>
    </row>
    <row r="57" customFormat="false" ht="15" hidden="false" customHeight="true" outlineLevel="0" collapsed="false">
      <c r="A57" s="20" t="s">
        <v>125</v>
      </c>
      <c r="B57" s="6"/>
      <c r="C57" s="23" t="n">
        <f aca="false">MIN(C56,C11)*C6</f>
        <v>1.09882274659107</v>
      </c>
      <c r="D57" s="8" t="s">
        <v>37</v>
      </c>
      <c r="E57" s="9"/>
    </row>
    <row r="58" customFormat="false" ht="15" hidden="false" customHeight="true" outlineLevel="0" collapsed="false">
      <c r="A58" s="20" t="s">
        <v>126</v>
      </c>
      <c r="B58" s="6"/>
      <c r="C58" s="23" t="n">
        <f aca="false">MIN(C56,C12)*C6</f>
        <v>1.09882274659107</v>
      </c>
      <c r="D58" s="8" t="s">
        <v>37</v>
      </c>
      <c r="E58" s="9"/>
    </row>
    <row r="59" customFormat="false" ht="15" hidden="false" customHeight="true" outlineLevel="0" collapsed="false">
      <c r="A59" s="6" t="s">
        <v>127</v>
      </c>
      <c r="B59" s="6" t="s">
        <v>115</v>
      </c>
      <c r="C59" s="27" t="n">
        <f aca="false">1.5*MIN(C56,C12)^2*C31</f>
        <v>72.4446857055564</v>
      </c>
      <c r="D59" s="8" t="s">
        <v>116</v>
      </c>
      <c r="E59" s="9" t="s">
        <v>128</v>
      </c>
    </row>
    <row r="60" customFormat="false" ht="15" hidden="false" customHeight="true" outlineLevel="0" collapsed="false">
      <c r="A60" s="6" t="s">
        <v>129</v>
      </c>
      <c r="B60" s="6" t="s">
        <v>130</v>
      </c>
      <c r="C60" s="27" t="n">
        <f aca="false">C58*C22*2*PI()/60</f>
        <v>17.2602673414393</v>
      </c>
      <c r="D60" s="8" t="s">
        <v>116</v>
      </c>
      <c r="E60" s="9"/>
    </row>
    <row r="61" customFormat="false" ht="15" hidden="false" customHeight="true" outlineLevel="0" collapsed="false">
      <c r="A61" s="6" t="s">
        <v>131</v>
      </c>
      <c r="B61" s="6" t="s">
        <v>132</v>
      </c>
      <c r="C61" s="28" t="n">
        <f aca="false">IF((C60+C59)&gt;0,C60/(C60+C59),0)</f>
        <v>0.192411530859358</v>
      </c>
      <c r="D61" s="8" t="s">
        <v>46</v>
      </c>
      <c r="E61" s="9" t="s">
        <v>133</v>
      </c>
    </row>
    <row r="62" customFormat="false" ht="15" hidden="false" customHeight="true" outlineLevel="0" collapsed="false">
      <c r="A62" s="6" t="s">
        <v>134</v>
      </c>
      <c r="B62" s="6"/>
      <c r="C62" s="28" t="n">
        <f aca="false">IF(C52&gt;0,C59/C52,0)</f>
        <v>0.421749488772761</v>
      </c>
      <c r="D62" s="8" t="s">
        <v>46</v>
      </c>
      <c r="E62" s="9" t="s">
        <v>135</v>
      </c>
    </row>
    <row r="63" customFormat="false" ht="15" hidden="false" customHeight="true" outlineLevel="0" collapsed="false">
      <c r="A63" s="6" t="s">
        <v>136</v>
      </c>
      <c r="B63" s="6"/>
      <c r="C63" s="8" t="str">
        <f aca="false">IF(C57&lt;=C13,"OK","supera Tp")</f>
        <v>OK</v>
      </c>
      <c r="D63" s="8"/>
      <c r="E63" s="9"/>
    </row>
    <row r="64" customFormat="false" ht="15" hidden="false" customHeight="true" outlineLevel="0" collapsed="false">
      <c r="A64" s="6" t="s">
        <v>137</v>
      </c>
      <c r="B64" s="6"/>
      <c r="C64" s="8" t="str">
        <f aca="false">IF(C58&lt;=C14,"OK","supera Tc")</f>
        <v>OK</v>
      </c>
      <c r="D64" s="8"/>
      <c r="E64" s="9"/>
    </row>
    <row r="66" customFormat="false" ht="15" hidden="false" customHeight="true" outlineLevel="0" collapsed="false">
      <c r="A66" s="4" t="s">
        <v>138</v>
      </c>
      <c r="B66" s="4"/>
      <c r="C66" s="4"/>
      <c r="D66" s="4"/>
      <c r="E66" s="4"/>
    </row>
    <row r="67" customFormat="false" ht="68.25" hidden="false" customHeight="true" outlineLevel="0" collapsed="false">
      <c r="A67" s="29" t="s">
        <v>139</v>
      </c>
      <c r="B67" s="29" t="s">
        <v>140</v>
      </c>
      <c r="C67" s="29" t="s">
        <v>90</v>
      </c>
      <c r="D67" s="29" t="s">
        <v>141</v>
      </c>
      <c r="E67" s="29" t="s">
        <v>142</v>
      </c>
      <c r="F67" s="29" t="s">
        <v>143</v>
      </c>
      <c r="G67" s="29" t="s">
        <v>144</v>
      </c>
      <c r="H67" s="29" t="s">
        <v>145</v>
      </c>
      <c r="I67" s="29" t="s">
        <v>146</v>
      </c>
    </row>
    <row r="68" customFormat="false" ht="15" hidden="false" customHeight="true" outlineLevel="0" collapsed="false">
      <c r="A68" s="16" t="n">
        <f aca="false">MIN($C$40,$C$13)*0/20</f>
        <v>0</v>
      </c>
      <c r="B68" s="17" t="n">
        <f aca="false">A68/$C$6</f>
        <v>0</v>
      </c>
      <c r="C68" s="17" t="n">
        <f aca="false">B68*$C$33</f>
        <v>0</v>
      </c>
      <c r="D68" s="18" t="n">
        <f aca="false">B68*$C$34</f>
        <v>0</v>
      </c>
      <c r="E68" s="17" t="n">
        <f aca="false">IF(C68&gt;=$C$32,0,(-$C$27*C68+SQRT($C$27^2*C68^2-($C$27^2+D68^2)*(C68^2-$C$32^2)))/($C$27^2+D68^2))</f>
        <v>81.6373280634131</v>
      </c>
      <c r="F68" s="15" t="n">
        <f aca="false">E68*60/(2*PI())</f>
        <v>779.579058126414</v>
      </c>
      <c r="G68" s="27" t="n">
        <f aca="false">1.5*B68^2*$C$31</f>
        <v>0</v>
      </c>
      <c r="H68" s="27" t="n">
        <f aca="false">A68*E68</f>
        <v>0</v>
      </c>
      <c r="I68" s="28" t="n">
        <f aca="false">IF((H68+G68)&gt;0,H68/(H68+G68),0)</f>
        <v>0</v>
      </c>
    </row>
    <row r="69" customFormat="false" ht="15" hidden="false" customHeight="true" outlineLevel="0" collapsed="false">
      <c r="A69" s="16" t="n">
        <f aca="false">MIN($C$40,$C$13)*1/20</f>
        <v>0.0680311067195109</v>
      </c>
      <c r="B69" s="17" t="n">
        <f aca="false">A69/$C$6</f>
        <v>0.188975296443086</v>
      </c>
      <c r="C69" s="17" t="n">
        <f aca="false">B69*$C$33</f>
        <v>0.8484</v>
      </c>
      <c r="D69" s="18" t="n">
        <f aca="false">B69*$C$34</f>
        <v>0</v>
      </c>
      <c r="E69" s="17" t="n">
        <f aca="false">IF(C69&gt;=$C$32,0,(-$C$27*C69+SQRT($C$27^2*C69^2-($C$27^2+D69^2)*(C69^2-$C$32^2)))/($C$27^2+D69^2))</f>
        <v>77.5554616602424</v>
      </c>
      <c r="F69" s="15" t="n">
        <f aca="false">E69*60/(2*PI())</f>
        <v>740.600105220093</v>
      </c>
      <c r="G69" s="27" t="n">
        <f aca="false">1.5*B69^2*$C$31</f>
        <v>0.277693888888889</v>
      </c>
      <c r="H69" s="27" t="n">
        <f aca="false">A69*E69</f>
        <v>5.27618388888889</v>
      </c>
      <c r="I69" s="28" t="n">
        <f aca="false">IF((H69+G69)&gt;0,H69/(H69+G69),0)</f>
        <v>0.95</v>
      </c>
    </row>
    <row r="70" customFormat="false" ht="15" hidden="false" customHeight="true" outlineLevel="0" collapsed="false">
      <c r="A70" s="16" t="n">
        <f aca="false">MIN($C$40,$C$13)*2/20</f>
        <v>0.136062213439022</v>
      </c>
      <c r="B70" s="17" t="n">
        <f aca="false">A70/$C$6</f>
        <v>0.377950592886172</v>
      </c>
      <c r="C70" s="17" t="n">
        <f aca="false">B70*$C$33</f>
        <v>1.6968</v>
      </c>
      <c r="D70" s="18" t="n">
        <f aca="false">B70*$C$34</f>
        <v>0</v>
      </c>
      <c r="E70" s="17" t="n">
        <f aca="false">IF(C70&gt;=$C$32,0,(-$C$27*C70+SQRT($C$27^2*C70^2-($C$27^2+D70^2)*(C70^2-$C$32^2)))/($C$27^2+D70^2))</f>
        <v>73.4735952570718</v>
      </c>
      <c r="F70" s="15" t="n">
        <f aca="false">E70*60/(2*PI())</f>
        <v>701.621152313772</v>
      </c>
      <c r="G70" s="27" t="n">
        <f aca="false">1.5*B70^2*$C$31</f>
        <v>1.11077555555556</v>
      </c>
      <c r="H70" s="27" t="n">
        <f aca="false">A70*E70</f>
        <v>9.99698</v>
      </c>
      <c r="I70" s="28" t="n">
        <f aca="false">IF((H70+G70)&gt;0,H70/(H70+G70),0)</f>
        <v>0.9</v>
      </c>
    </row>
    <row r="71" customFormat="false" ht="15" hidden="false" customHeight="true" outlineLevel="0" collapsed="false">
      <c r="A71" s="16" t="n">
        <f aca="false">MIN($C$40,$C$13)*3/20</f>
        <v>0.204093320158533</v>
      </c>
      <c r="B71" s="17" t="n">
        <f aca="false">A71/$C$6</f>
        <v>0.566925889329258</v>
      </c>
      <c r="C71" s="17" t="n">
        <f aca="false">B71*$C$33</f>
        <v>2.5452</v>
      </c>
      <c r="D71" s="18" t="n">
        <f aca="false">B71*$C$34</f>
        <v>0</v>
      </c>
      <c r="E71" s="17" t="n">
        <f aca="false">IF(C71&gt;=$C$32,0,(-$C$27*C71+SQRT($C$27^2*C71^2-($C$27^2+D71^2)*(C71^2-$C$32^2)))/($C$27^2+D71^2))</f>
        <v>69.3917288539011</v>
      </c>
      <c r="F71" s="15" t="n">
        <f aca="false">E71*60/(2*PI())</f>
        <v>662.642199407452</v>
      </c>
      <c r="G71" s="27" t="n">
        <f aca="false">1.5*B71^2*$C$31</f>
        <v>2.499245</v>
      </c>
      <c r="H71" s="27" t="n">
        <f aca="false">A71*E71</f>
        <v>14.1623883333333</v>
      </c>
      <c r="I71" s="28" t="n">
        <f aca="false">IF((H71+G71)&gt;0,H71/(H71+G71),0)</f>
        <v>0.85</v>
      </c>
    </row>
    <row r="72" customFormat="false" ht="15" hidden="false" customHeight="true" outlineLevel="0" collapsed="false">
      <c r="A72" s="16" t="n">
        <f aca="false">MIN($C$40,$C$13)*4/20</f>
        <v>0.272124426878044</v>
      </c>
      <c r="B72" s="17" t="n">
        <f aca="false">A72/$C$6</f>
        <v>0.755901185772343</v>
      </c>
      <c r="C72" s="17" t="n">
        <f aca="false">B72*$C$33</f>
        <v>3.3936</v>
      </c>
      <c r="D72" s="18" t="n">
        <f aca="false">B72*$C$34</f>
        <v>0</v>
      </c>
      <c r="E72" s="17" t="n">
        <f aca="false">IF(C72&gt;=$C$32,0,(-$C$27*C72+SQRT($C$27^2*C72^2-($C$27^2+D72^2)*(C72^2-$C$32^2)))/($C$27^2+D72^2))</f>
        <v>65.3098624507305</v>
      </c>
      <c r="F72" s="15" t="n">
        <f aca="false">E72*60/(2*PI())</f>
        <v>623.663246501131</v>
      </c>
      <c r="G72" s="27" t="n">
        <f aca="false">1.5*B72^2*$C$31</f>
        <v>4.44310222222222</v>
      </c>
      <c r="H72" s="27" t="n">
        <f aca="false">A72*E72</f>
        <v>17.7724088888889</v>
      </c>
      <c r="I72" s="28" t="n">
        <f aca="false">IF((H72+G72)&gt;0,H72/(H72+G72),0)</f>
        <v>0.8</v>
      </c>
    </row>
    <row r="73" customFormat="false" ht="15" hidden="false" customHeight="true" outlineLevel="0" collapsed="false">
      <c r="A73" s="16" t="n">
        <f aca="false">MIN($C$40,$C$13)*5/20</f>
        <v>0.340155533597555</v>
      </c>
      <c r="B73" s="17" t="n">
        <f aca="false">A73/$C$6</f>
        <v>0.944876482215429</v>
      </c>
      <c r="C73" s="17" t="n">
        <f aca="false">B73*$C$33</f>
        <v>4.242</v>
      </c>
      <c r="D73" s="18" t="n">
        <f aca="false">B73*$C$34</f>
        <v>0</v>
      </c>
      <c r="E73" s="17" t="n">
        <f aca="false">IF(C73&gt;=$C$32,0,(-$C$27*C73+SQRT($C$27^2*C73^2-($C$27^2+D73^2)*(C73^2-$C$32^2)))/($C$27^2+D73^2))</f>
        <v>61.2279960475598</v>
      </c>
      <c r="F73" s="15" t="n">
        <f aca="false">E73*60/(2*PI())</f>
        <v>584.684293594811</v>
      </c>
      <c r="G73" s="27" t="n">
        <f aca="false">1.5*B73^2*$C$31</f>
        <v>6.94234722222222</v>
      </c>
      <c r="H73" s="27" t="n">
        <f aca="false">A73*E73</f>
        <v>20.8270416666667</v>
      </c>
      <c r="I73" s="28" t="n">
        <f aca="false">IF((H73+G73)&gt;0,H73/(H73+G73),0)</f>
        <v>0.75</v>
      </c>
    </row>
    <row r="74" customFormat="false" ht="15" hidden="false" customHeight="true" outlineLevel="0" collapsed="false">
      <c r="A74" s="16" t="n">
        <f aca="false">MIN($C$40,$C$13)*6/20</f>
        <v>0.408186640317065</v>
      </c>
      <c r="B74" s="17" t="n">
        <f aca="false">A74/$C$6</f>
        <v>1.13385177865852</v>
      </c>
      <c r="C74" s="17" t="n">
        <f aca="false">B74*$C$33</f>
        <v>5.0904</v>
      </c>
      <c r="D74" s="18" t="n">
        <f aca="false">B74*$C$34</f>
        <v>0</v>
      </c>
      <c r="E74" s="17" t="n">
        <f aca="false">IF(C74&gt;=$C$32,0,(-$C$27*C74+SQRT($C$27^2*C74^2-($C$27^2+D74^2)*(C74^2-$C$32^2)))/($C$27^2+D74^2))</f>
        <v>57.1461296443892</v>
      </c>
      <c r="F74" s="15" t="n">
        <f aca="false">E74*60/(2*PI())</f>
        <v>545.70534068849</v>
      </c>
      <c r="G74" s="27" t="n">
        <f aca="false">1.5*B74^2*$C$31</f>
        <v>9.99698</v>
      </c>
      <c r="H74" s="27" t="n">
        <f aca="false">A74*E74</f>
        <v>23.3262866666667</v>
      </c>
      <c r="I74" s="28" t="n">
        <f aca="false">IF((H74+G74)&gt;0,H74/(H74+G74),0)</f>
        <v>0.7</v>
      </c>
    </row>
    <row r="75" customFormat="false" ht="15" hidden="false" customHeight="true" outlineLevel="0" collapsed="false">
      <c r="A75" s="16" t="n">
        <f aca="false">MIN($C$40,$C$13)*7/20</f>
        <v>0.476217747036576</v>
      </c>
      <c r="B75" s="17" t="n">
        <f aca="false">A75/$C$6</f>
        <v>1.3228270751016</v>
      </c>
      <c r="C75" s="17" t="n">
        <f aca="false">B75*$C$33</f>
        <v>5.9388</v>
      </c>
      <c r="D75" s="18" t="n">
        <f aca="false">B75*$C$34</f>
        <v>0</v>
      </c>
      <c r="E75" s="17" t="n">
        <f aca="false">IF(C75&gt;=$C$32,0,(-$C$27*C75+SQRT($C$27^2*C75^2-($C$27^2+D75^2)*(C75^2-$C$32^2)))/($C$27^2+D75^2))</f>
        <v>53.0642632412185</v>
      </c>
      <c r="F75" s="15" t="n">
        <f aca="false">E75*60/(2*PI())</f>
        <v>506.726387782169</v>
      </c>
      <c r="G75" s="27" t="n">
        <f aca="false">1.5*B75^2*$C$31</f>
        <v>13.6070005555556</v>
      </c>
      <c r="H75" s="27" t="n">
        <f aca="false">A75*E75</f>
        <v>25.2701438888889</v>
      </c>
      <c r="I75" s="28" t="n">
        <f aca="false">IF((H75+G75)&gt;0,H75/(H75+G75),0)</f>
        <v>0.65</v>
      </c>
    </row>
    <row r="76" customFormat="false" ht="15" hidden="false" customHeight="true" outlineLevel="0" collapsed="false">
      <c r="A76" s="16" t="n">
        <f aca="false">MIN($C$40,$C$13)*8/20</f>
        <v>0.544248853756087</v>
      </c>
      <c r="B76" s="17" t="n">
        <f aca="false">A76/$C$6</f>
        <v>1.51180237154469</v>
      </c>
      <c r="C76" s="17" t="n">
        <f aca="false">B76*$C$33</f>
        <v>6.7872</v>
      </c>
      <c r="D76" s="18" t="n">
        <f aca="false">B76*$C$34</f>
        <v>0</v>
      </c>
      <c r="E76" s="17" t="n">
        <f aca="false">IF(C76&gt;=$C$32,0,(-$C$27*C76+SQRT($C$27^2*C76^2-($C$27^2+D76^2)*(C76^2-$C$32^2)))/($C$27^2+D76^2))</f>
        <v>48.9823968380479</v>
      </c>
      <c r="F76" s="15" t="n">
        <f aca="false">E76*60/(2*PI())</f>
        <v>467.747434875849</v>
      </c>
      <c r="G76" s="27" t="n">
        <f aca="false">1.5*B76^2*$C$31</f>
        <v>17.7724088888889</v>
      </c>
      <c r="H76" s="27" t="n">
        <f aca="false">A76*E76</f>
        <v>26.6586133333333</v>
      </c>
      <c r="I76" s="28" t="n">
        <f aca="false">IF((H76+G76)&gt;0,H76/(H76+G76),0)</f>
        <v>0.6</v>
      </c>
    </row>
    <row r="77" customFormat="false" ht="15" hidden="false" customHeight="true" outlineLevel="0" collapsed="false">
      <c r="A77" s="16" t="n">
        <f aca="false">MIN($C$40,$C$13)*9/20</f>
        <v>0.612279960475598</v>
      </c>
      <c r="B77" s="17" t="n">
        <f aca="false">A77/$C$6</f>
        <v>1.70077766798777</v>
      </c>
      <c r="C77" s="17" t="n">
        <f aca="false">B77*$C$33</f>
        <v>7.6356</v>
      </c>
      <c r="D77" s="18" t="n">
        <f aca="false">B77*$C$34</f>
        <v>0</v>
      </c>
      <c r="E77" s="17" t="n">
        <f aca="false">IF(C77&gt;=$C$32,0,(-$C$27*C77+SQRT($C$27^2*C77^2-($C$27^2+D77^2)*(C77^2-$C$32^2)))/($C$27^2+D77^2))</f>
        <v>44.9005304348772</v>
      </c>
      <c r="F77" s="15" t="n">
        <f aca="false">E77*60/(2*PI())</f>
        <v>428.768481969528</v>
      </c>
      <c r="G77" s="27" t="n">
        <f aca="false">1.5*B77^2*$C$31</f>
        <v>22.493205</v>
      </c>
      <c r="H77" s="27" t="n">
        <f aca="false">A77*E77</f>
        <v>27.491695</v>
      </c>
      <c r="I77" s="28" t="n">
        <f aca="false">IF((H77+G77)&gt;0,H77/(H77+G77),0)</f>
        <v>0.55</v>
      </c>
    </row>
    <row r="78" customFormat="false" ht="15" hidden="false" customHeight="true" outlineLevel="0" collapsed="false">
      <c r="A78" s="16" t="n">
        <f aca="false">MIN($C$40,$C$13)*10/20</f>
        <v>0.680311067195109</v>
      </c>
      <c r="B78" s="17" t="n">
        <f aca="false">A78/$C$6</f>
        <v>1.88975296443086</v>
      </c>
      <c r="C78" s="17" t="n">
        <f aca="false">B78*$C$33</f>
        <v>8.484</v>
      </c>
      <c r="D78" s="18" t="n">
        <f aca="false">B78*$C$34</f>
        <v>0</v>
      </c>
      <c r="E78" s="17" t="n">
        <f aca="false">IF(C78&gt;=$C$32,0,(-$C$27*C78+SQRT($C$27^2*C78^2-($C$27^2+D78^2)*(C78^2-$C$32^2)))/($C$27^2+D78^2))</f>
        <v>40.8186640317066</v>
      </c>
      <c r="F78" s="15" t="n">
        <f aca="false">E78*60/(2*PI())</f>
        <v>389.789529063207</v>
      </c>
      <c r="G78" s="27" t="n">
        <f aca="false">1.5*B78^2*$C$31</f>
        <v>27.7693888888889</v>
      </c>
      <c r="H78" s="27" t="n">
        <f aca="false">A78*E78</f>
        <v>27.7693888888889</v>
      </c>
      <c r="I78" s="28" t="n">
        <f aca="false">IF((H78+G78)&gt;0,H78/(H78+G78),0)</f>
        <v>0.5</v>
      </c>
    </row>
    <row r="79" customFormat="false" ht="15" hidden="false" customHeight="true" outlineLevel="0" collapsed="false">
      <c r="A79" s="16" t="n">
        <f aca="false">MIN($C$40,$C$13)*11/20</f>
        <v>0.74834217391462</v>
      </c>
      <c r="B79" s="17" t="n">
        <f aca="false">A79/$C$6</f>
        <v>2.07872826087394</v>
      </c>
      <c r="C79" s="17" t="n">
        <f aca="false">B79*$C$33</f>
        <v>9.3324</v>
      </c>
      <c r="D79" s="18" t="n">
        <f aca="false">B79*$C$34</f>
        <v>0</v>
      </c>
      <c r="E79" s="17" t="n">
        <f aca="false">IF(C79&gt;=$C$32,0,(-$C$27*C79+SQRT($C$27^2*C79^2-($C$27^2+D79^2)*(C79^2-$C$32^2)))/($C$27^2+D79^2))</f>
        <v>36.7367976285359</v>
      </c>
      <c r="F79" s="15" t="n">
        <f aca="false">E79*60/(2*PI())</f>
        <v>350.810576156886</v>
      </c>
      <c r="G79" s="27" t="n">
        <f aca="false">1.5*B79^2*$C$31</f>
        <v>33.6009605555555</v>
      </c>
      <c r="H79" s="27" t="n">
        <f aca="false">A79*E79</f>
        <v>27.491695</v>
      </c>
      <c r="I79" s="28" t="n">
        <f aca="false">IF((H79+G79)&gt;0,H79/(H79+G79),0)</f>
        <v>0.45</v>
      </c>
    </row>
    <row r="80" customFormat="false" ht="15" hidden="false" customHeight="true" outlineLevel="0" collapsed="false">
      <c r="A80" s="16" t="n">
        <f aca="false">MIN($C$40,$C$13)*12/20</f>
        <v>0.816373280634131</v>
      </c>
      <c r="B80" s="17" t="n">
        <f aca="false">A80/$C$6</f>
        <v>2.26770355731703</v>
      </c>
      <c r="C80" s="17" t="n">
        <f aca="false">B80*$C$33</f>
        <v>10.1808</v>
      </c>
      <c r="D80" s="18" t="n">
        <f aca="false">B80*$C$34</f>
        <v>0</v>
      </c>
      <c r="E80" s="17" t="n">
        <f aca="false">IF(C80&gt;=$C$32,0,(-$C$27*C80+SQRT($C$27^2*C80^2-($C$27^2+D80^2)*(C80^2-$C$32^2)))/($C$27^2+D80^2))</f>
        <v>32.6549312253652</v>
      </c>
      <c r="F80" s="15" t="n">
        <f aca="false">E80*60/(2*PI())</f>
        <v>311.831623250566</v>
      </c>
      <c r="G80" s="27" t="n">
        <f aca="false">1.5*B80^2*$C$31</f>
        <v>39.98792</v>
      </c>
      <c r="H80" s="27" t="n">
        <f aca="false">A80*E80</f>
        <v>26.6586133333333</v>
      </c>
      <c r="I80" s="28" t="n">
        <f aca="false">IF((H80+G80)&gt;0,H80/(H80+G80),0)</f>
        <v>0.4</v>
      </c>
    </row>
    <row r="81" customFormat="false" ht="15" hidden="false" customHeight="true" outlineLevel="0" collapsed="false">
      <c r="A81" s="16" t="n">
        <f aca="false">MIN($C$40,$C$13)*13/20</f>
        <v>0.884404387353642</v>
      </c>
      <c r="B81" s="17" t="n">
        <f aca="false">A81/$C$6</f>
        <v>2.45667885376012</v>
      </c>
      <c r="C81" s="17" t="n">
        <f aca="false">B81*$C$33</f>
        <v>11.0292</v>
      </c>
      <c r="D81" s="18" t="n">
        <f aca="false">B81*$C$34</f>
        <v>0</v>
      </c>
      <c r="E81" s="17" t="n">
        <f aca="false">IF(C81&gt;=$C$32,0,(-$C$27*C81+SQRT($C$27^2*C81^2-($C$27^2+D81^2)*(C81^2-$C$32^2)))/($C$27^2+D81^2))</f>
        <v>28.5730648221946</v>
      </c>
      <c r="F81" s="15" t="n">
        <f aca="false">E81*60/(2*PI())</f>
        <v>272.852670344245</v>
      </c>
      <c r="G81" s="27" t="n">
        <f aca="false">1.5*B81^2*$C$31</f>
        <v>46.9302672222222</v>
      </c>
      <c r="H81" s="27" t="n">
        <f aca="false">A81*E81</f>
        <v>25.2701438888889</v>
      </c>
      <c r="I81" s="28" t="n">
        <f aca="false">IF((H81+G81)&gt;0,H81/(H81+G81),0)</f>
        <v>0.35</v>
      </c>
    </row>
    <row r="82" customFormat="false" ht="15" hidden="false" customHeight="true" outlineLevel="0" collapsed="false">
      <c r="A82" s="16" t="n">
        <f aca="false">MIN($C$40,$C$13)*14/20</f>
        <v>0.952435494073153</v>
      </c>
      <c r="B82" s="17" t="n">
        <f aca="false">A82/$C$6</f>
        <v>2.6456541502032</v>
      </c>
      <c r="C82" s="17" t="n">
        <f aca="false">B82*$C$33</f>
        <v>11.8776</v>
      </c>
      <c r="D82" s="18" t="n">
        <f aca="false">B82*$C$34</f>
        <v>0</v>
      </c>
      <c r="E82" s="17" t="n">
        <f aca="false">IF(C82&gt;=$C$32,0,(-$C$27*C82+SQRT($C$27^2*C82^2-($C$27^2+D82^2)*(C82^2-$C$32^2)))/($C$27^2+D82^2))</f>
        <v>24.4911984190239</v>
      </c>
      <c r="F82" s="15" t="n">
        <f aca="false">E82*60/(2*PI())</f>
        <v>233.873717437924</v>
      </c>
      <c r="G82" s="27" t="n">
        <f aca="false">1.5*B82^2*$C$31</f>
        <v>54.4280022222222</v>
      </c>
      <c r="H82" s="27" t="n">
        <f aca="false">A82*E82</f>
        <v>23.3262866666667</v>
      </c>
      <c r="I82" s="28" t="n">
        <f aca="false">IF((H82+G82)&gt;0,H82/(H82+G82),0)</f>
        <v>0.3</v>
      </c>
    </row>
    <row r="83" customFormat="false" ht="15" hidden="false" customHeight="true" outlineLevel="0" collapsed="false">
      <c r="A83" s="16" t="n">
        <f aca="false">MIN($C$40,$C$13)*15/20</f>
        <v>1.02046660079266</v>
      </c>
      <c r="B83" s="17" t="n">
        <f aca="false">A83/$C$6</f>
        <v>2.83462944664629</v>
      </c>
      <c r="C83" s="17" t="n">
        <f aca="false">B83*$C$33</f>
        <v>12.726</v>
      </c>
      <c r="D83" s="18" t="n">
        <f aca="false">B83*$C$34</f>
        <v>0</v>
      </c>
      <c r="E83" s="17" t="n">
        <f aca="false">IF(C83&gt;=$C$32,0,(-$C$27*C83+SQRT($C$27^2*C83^2-($C$27^2+D83^2)*(C83^2-$C$32^2)))/($C$27^2+D83^2))</f>
        <v>20.4093320158533</v>
      </c>
      <c r="F83" s="15" t="n">
        <f aca="false">E83*60/(2*PI())</f>
        <v>194.894764531604</v>
      </c>
      <c r="G83" s="27" t="n">
        <f aca="false">1.5*B83^2*$C$31</f>
        <v>62.481125</v>
      </c>
      <c r="H83" s="27" t="n">
        <f aca="false">A83*E83</f>
        <v>20.8270416666667</v>
      </c>
      <c r="I83" s="28" t="n">
        <f aca="false">IF((H83+G83)&gt;0,H83/(H83+G83),0)</f>
        <v>0.25</v>
      </c>
    </row>
    <row r="84" customFormat="false" ht="15" hidden="false" customHeight="true" outlineLevel="0" collapsed="false">
      <c r="A84" s="16" t="n">
        <f aca="false">MIN($C$40,$C$13)*16/20</f>
        <v>1.08849770751217</v>
      </c>
      <c r="B84" s="17" t="n">
        <f aca="false">A84/$C$6</f>
        <v>3.02360474308937</v>
      </c>
      <c r="C84" s="17" t="n">
        <f aca="false">B84*$C$33</f>
        <v>13.5744</v>
      </c>
      <c r="D84" s="18" t="n">
        <f aca="false">B84*$C$34</f>
        <v>0</v>
      </c>
      <c r="E84" s="17" t="n">
        <f aca="false">IF(C84&gt;=$C$32,0,(-$C$27*C84+SQRT($C$27^2*C84^2-($C$27^2+D84^2)*(C84^2-$C$32^2)))/($C$27^2+D84^2))</f>
        <v>16.3274656126826</v>
      </c>
      <c r="F84" s="15" t="n">
        <f aca="false">E84*60/(2*PI())</f>
        <v>155.915811625283</v>
      </c>
      <c r="G84" s="27" t="n">
        <f aca="false">1.5*B84^2*$C$31</f>
        <v>71.0896355555556</v>
      </c>
      <c r="H84" s="27" t="n">
        <f aca="false">A84*E84</f>
        <v>17.7724088888889</v>
      </c>
      <c r="I84" s="28" t="n">
        <f aca="false">IF((H84+G84)&gt;0,H84/(H84+G84),0)</f>
        <v>0.2</v>
      </c>
    </row>
    <row r="85" customFormat="false" ht="15" hidden="false" customHeight="true" outlineLevel="0" collapsed="false">
      <c r="A85" s="16" t="n">
        <f aca="false">MIN($C$40,$C$13)*17/20</f>
        <v>1.15652881423169</v>
      </c>
      <c r="B85" s="17" t="n">
        <f aca="false">A85/$C$6</f>
        <v>3.21258003953246</v>
      </c>
      <c r="C85" s="17" t="n">
        <f aca="false">B85*$C$33</f>
        <v>14.4228</v>
      </c>
      <c r="D85" s="18" t="n">
        <f aca="false">B85*$C$34</f>
        <v>0</v>
      </c>
      <c r="E85" s="17" t="n">
        <f aca="false">IF(C85&gt;=$C$32,0,(-$C$27*C85+SQRT($C$27^2*C85^2-($C$27^2+D85^2)*(C85^2-$C$32^2)))/($C$27^2+D85^2))</f>
        <v>12.245599209512</v>
      </c>
      <c r="F85" s="15" t="n">
        <f aca="false">E85*60/(2*PI())</f>
        <v>116.936858718962</v>
      </c>
      <c r="G85" s="27" t="n">
        <f aca="false">1.5*B85^2*$C$31</f>
        <v>80.2535338888889</v>
      </c>
      <c r="H85" s="27" t="n">
        <f aca="false">A85*E85</f>
        <v>14.1623883333333</v>
      </c>
      <c r="I85" s="28" t="n">
        <f aca="false">IF((H85+G85)&gt;0,H85/(H85+G85),0)</f>
        <v>0.15</v>
      </c>
    </row>
    <row r="86" customFormat="false" ht="15" hidden="false" customHeight="true" outlineLevel="0" collapsed="false">
      <c r="A86" s="16" t="n">
        <f aca="false">MIN($C$40,$C$13)*18/20</f>
        <v>1.2245599209512</v>
      </c>
      <c r="B86" s="17" t="n">
        <f aca="false">A86/$C$6</f>
        <v>3.40155533597555</v>
      </c>
      <c r="C86" s="17" t="n">
        <f aca="false">B86*$C$33</f>
        <v>15.2712</v>
      </c>
      <c r="D86" s="18" t="n">
        <f aca="false">B86*$C$34</f>
        <v>0</v>
      </c>
      <c r="E86" s="17" t="n">
        <f aca="false">IF(C86&gt;=$C$32,0,(-$C$27*C86+SQRT($C$27^2*C86^2-($C$27^2+D86^2)*(C86^2-$C$32^2)))/($C$27^2+D86^2))</f>
        <v>8.16373280634132</v>
      </c>
      <c r="F86" s="15" t="n">
        <f aca="false">E86*60/(2*PI())</f>
        <v>77.9579058126415</v>
      </c>
      <c r="G86" s="27" t="n">
        <f aca="false">1.5*B86^2*$C$31</f>
        <v>89.97282</v>
      </c>
      <c r="H86" s="27" t="n">
        <f aca="false">A86*E86</f>
        <v>9.99698000000001</v>
      </c>
      <c r="I86" s="28" t="n">
        <f aca="false">IF((H86+G86)&gt;0,H86/(H86+G86),0)</f>
        <v>0.1</v>
      </c>
    </row>
    <row r="87" customFormat="false" ht="15" hidden="false" customHeight="true" outlineLevel="0" collapsed="false">
      <c r="A87" s="16" t="n">
        <f aca="false">MIN($C$40,$C$13)*19/20</f>
        <v>1.29259102767071</v>
      </c>
      <c r="B87" s="17" t="n">
        <f aca="false">A87/$C$6</f>
        <v>3.59053063241863</v>
      </c>
      <c r="C87" s="17" t="n">
        <f aca="false">B87*$C$33</f>
        <v>16.1196</v>
      </c>
      <c r="D87" s="18" t="n">
        <f aca="false">B87*$C$34</f>
        <v>0</v>
      </c>
      <c r="E87" s="17" t="n">
        <f aca="false">IF(C87&gt;=$C$32,0,(-$C$27*C87+SQRT($C$27^2*C87^2-($C$27^2+D87^2)*(C87^2-$C$32^2)))/($C$27^2+D87^2))</f>
        <v>4.08186640317067</v>
      </c>
      <c r="F87" s="15" t="n">
        <f aca="false">E87*60/(2*PI())</f>
        <v>38.9789529063208</v>
      </c>
      <c r="G87" s="27" t="n">
        <f aca="false">1.5*B87^2*$C$31</f>
        <v>100.247493888889</v>
      </c>
      <c r="H87" s="27" t="n">
        <f aca="false">A87*E87</f>
        <v>5.2761838888889</v>
      </c>
      <c r="I87" s="28" t="n">
        <f aca="false">IF((H87+G87)&gt;0,H87/(H87+G87),0)</f>
        <v>0.0500000000000001</v>
      </c>
    </row>
    <row r="88" customFormat="false" ht="15" hidden="false" customHeight="true" outlineLevel="0" collapsed="false">
      <c r="A88" s="16" t="n">
        <f aca="false">MIN($C$40,$C$13)*20/20</f>
        <v>1.36062213439022</v>
      </c>
      <c r="B88" s="17" t="n">
        <f aca="false">A88/$C$6</f>
        <v>3.77950592886172</v>
      </c>
      <c r="C88" s="17" t="n">
        <f aca="false">B88*$C$33</f>
        <v>16.968</v>
      </c>
      <c r="D88" s="18" t="n">
        <f aca="false">B88*$C$34</f>
        <v>0</v>
      </c>
      <c r="E88" s="17" t="n">
        <f aca="false">IF(C88&gt;=$C$32,0,(-$C$27*C88+SQRT($C$27^2*C88^2-($C$27^2+D88^2)*(C88^2-$C$32^2)))/($C$27^2+D88^2))</f>
        <v>0</v>
      </c>
      <c r="F88" s="15" t="n">
        <f aca="false">E88*60/(2*PI())</f>
        <v>0</v>
      </c>
      <c r="G88" s="27" t="n">
        <f aca="false">1.5*B88^2*$C$31</f>
        <v>111.077555555556</v>
      </c>
      <c r="H88" s="27" t="n">
        <f aca="false">A88*E88</f>
        <v>0</v>
      </c>
      <c r="I88" s="28" t="n">
        <f aca="false">IF((H88+G88)&gt;0,H88/(H88+G88),0)</f>
        <v>0</v>
      </c>
    </row>
    <row r="90" customFormat="false" ht="15" hidden="false" customHeight="true" outlineLevel="0" collapsed="false">
      <c r="A90" s="30" t="s">
        <v>147</v>
      </c>
    </row>
    <row r="91" customFormat="false" ht="15" hidden="false" customHeight="true" outlineLevel="0" collapsed="false">
      <c r="A91" s="19" t="s">
        <v>148</v>
      </c>
    </row>
    <row r="92" customFormat="false" ht="15" hidden="false" customHeight="true" outlineLevel="0" collapsed="false">
      <c r="A92" s="19" t="s">
        <v>149</v>
      </c>
    </row>
    <row r="93" customFormat="false" ht="15" hidden="false" customHeight="true" outlineLevel="0" collapsed="false">
      <c r="A93" s="19" t="s">
        <v>150</v>
      </c>
    </row>
    <row r="94" customFormat="false" ht="15" hidden="false" customHeight="true" outlineLevel="0" collapsed="false">
      <c r="A94" s="19" t="s">
        <v>151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8"/>
  </cols>
  <sheetData>
    <row r="1" customFormat="false" ht="17.25" hidden="false" customHeight="true" outlineLevel="0" collapsed="false">
      <c r="A1" s="2" t="s">
        <v>152</v>
      </c>
    </row>
    <row r="2" customFormat="false" ht="15" hidden="false" customHeight="true" outlineLevel="0" collapsed="false">
      <c r="A2" s="31"/>
    </row>
    <row r="3" customFormat="false" ht="15" hidden="false" customHeight="true" outlineLevel="0" collapsed="false">
      <c r="A3" s="30" t="s">
        <v>153</v>
      </c>
    </row>
    <row r="4" customFormat="false" ht="15" hidden="false" customHeight="true" outlineLevel="0" collapsed="false">
      <c r="A4" s="31" t="s">
        <v>154</v>
      </c>
    </row>
    <row r="5" customFormat="false" ht="15" hidden="false" customHeight="true" outlineLevel="0" collapsed="false">
      <c r="A5" s="31" t="s">
        <v>155</v>
      </c>
    </row>
    <row r="6" customFormat="false" ht="15" hidden="false" customHeight="true" outlineLevel="0" collapsed="false">
      <c r="A6" s="31" t="s">
        <v>156</v>
      </c>
    </row>
    <row r="7" customFormat="false" ht="15" hidden="false" customHeight="true" outlineLevel="0" collapsed="false">
      <c r="A7" s="31" t="s">
        <v>157</v>
      </c>
    </row>
    <row r="8" customFormat="false" ht="15" hidden="false" customHeight="true" outlineLevel="0" collapsed="false">
      <c r="A8" s="31" t="s">
        <v>158</v>
      </c>
    </row>
    <row r="9" customFormat="false" ht="15" hidden="false" customHeight="true" outlineLevel="0" collapsed="false">
      <c r="A9" s="31"/>
    </row>
    <row r="10" customFormat="false" ht="15" hidden="false" customHeight="true" outlineLevel="0" collapsed="false">
      <c r="A10" s="30" t="s">
        <v>159</v>
      </c>
    </row>
    <row r="11" customFormat="false" ht="15" hidden="false" customHeight="true" outlineLevel="0" collapsed="false">
      <c r="A11" s="31" t="s">
        <v>160</v>
      </c>
    </row>
    <row r="12" customFormat="false" ht="15" hidden="false" customHeight="true" outlineLevel="0" collapsed="false">
      <c r="A12" s="31" t="s">
        <v>161</v>
      </c>
    </row>
    <row r="13" customFormat="false" ht="15" hidden="false" customHeight="true" outlineLevel="0" collapsed="false">
      <c r="A13" s="31" t="s">
        <v>162</v>
      </c>
    </row>
    <row r="14" customFormat="false" ht="15" hidden="false" customHeight="true" outlineLevel="0" collapsed="false">
      <c r="A14" s="31"/>
    </row>
    <row r="15" customFormat="false" ht="15" hidden="false" customHeight="true" outlineLevel="0" collapsed="false">
      <c r="A15" s="30" t="s">
        <v>163</v>
      </c>
    </row>
    <row r="16" customFormat="false" ht="15" hidden="false" customHeight="true" outlineLevel="0" collapsed="false">
      <c r="A16" s="31" t="s">
        <v>164</v>
      </c>
    </row>
    <row r="17" customFormat="false" ht="15" hidden="false" customHeight="true" outlineLevel="0" collapsed="false">
      <c r="A17" s="31" t="s">
        <v>165</v>
      </c>
    </row>
    <row r="18" customFormat="false" ht="15" hidden="false" customHeight="true" outlineLevel="0" collapsed="false">
      <c r="A18" s="31" t="s">
        <v>166</v>
      </c>
    </row>
    <row r="19" customFormat="false" ht="15" hidden="false" customHeight="true" outlineLevel="0" collapsed="false">
      <c r="A19" s="31" t="s">
        <v>167</v>
      </c>
    </row>
    <row r="20" customFormat="false" ht="15" hidden="false" customHeight="true" outlineLevel="0" collapsed="false">
      <c r="A20" s="31" t="s">
        <v>168</v>
      </c>
    </row>
    <row r="21" customFormat="false" ht="15" hidden="false" customHeight="true" outlineLevel="0" collapsed="false">
      <c r="A21" s="31"/>
    </row>
    <row r="22" customFormat="false" ht="15" hidden="false" customHeight="true" outlineLevel="0" collapsed="false">
      <c r="A22" s="30" t="s">
        <v>169</v>
      </c>
    </row>
    <row r="23" customFormat="false" ht="15" hidden="false" customHeight="true" outlineLevel="0" collapsed="false">
      <c r="A23" s="31" t="s">
        <v>170</v>
      </c>
    </row>
    <row r="24" customFormat="false" ht="15" hidden="false" customHeight="true" outlineLevel="0" collapsed="false">
      <c r="A24" s="31" t="s">
        <v>171</v>
      </c>
    </row>
    <row r="25" customFormat="false" ht="15" hidden="false" customHeight="true" outlineLevel="0" collapsed="false">
      <c r="A25" s="31" t="s">
        <v>172</v>
      </c>
    </row>
    <row r="26" customFormat="false" ht="15" hidden="false" customHeight="true" outlineLevel="0" collapsed="false">
      <c r="A26" s="31" t="s">
        <v>173</v>
      </c>
    </row>
    <row r="27" customFormat="false" ht="15" hidden="false" customHeight="true" outlineLevel="0" collapsed="false">
      <c r="A27" s="31" t="s">
        <v>174</v>
      </c>
    </row>
    <row r="28" customFormat="false" ht="15" hidden="false" customHeight="true" outlineLevel="0" collapsed="false">
      <c r="A28" s="31"/>
    </row>
    <row r="29" customFormat="false" ht="15" hidden="false" customHeight="true" outlineLevel="0" collapsed="false">
      <c r="A29" s="30" t="s">
        <v>175</v>
      </c>
    </row>
    <row r="30" customFormat="false" ht="15" hidden="false" customHeight="true" outlineLevel="0" collapsed="false">
      <c r="A30" s="31" t="s">
        <v>176</v>
      </c>
    </row>
    <row r="31" customFormat="false" ht="15" hidden="false" customHeight="true" outlineLevel="0" collapsed="false">
      <c r="A31" s="31" t="s">
        <v>177</v>
      </c>
    </row>
    <row r="32" customFormat="false" ht="15" hidden="false" customHeight="true" outlineLevel="0" collapsed="false">
      <c r="A32" s="31"/>
    </row>
    <row r="33" customFormat="false" ht="15" hidden="false" customHeight="true" outlineLevel="0" collapsed="false">
      <c r="A33" s="30" t="s">
        <v>178</v>
      </c>
    </row>
    <row r="34" customFormat="false" ht="15" hidden="false" customHeight="true" outlineLevel="0" collapsed="false">
      <c r="A34" s="31" t="s">
        <v>179</v>
      </c>
    </row>
    <row r="35" customFormat="false" ht="15" hidden="false" customHeight="true" outlineLevel="0" collapsed="false">
      <c r="A35" s="31" t="s">
        <v>180</v>
      </c>
    </row>
    <row r="36" customFormat="false" ht="15" hidden="false" customHeight="true" outlineLevel="0" collapsed="false">
      <c r="A36" s="31" t="s">
        <v>181</v>
      </c>
    </row>
    <row r="37" customFormat="false" ht="15" hidden="false" customHeight="true" outlineLevel="0" collapsed="false">
      <c r="A37" s="31" t="s">
        <v>182</v>
      </c>
    </row>
    <row r="38" customFormat="false" ht="15" hidden="false" customHeight="true" outlineLevel="0" collapsed="false">
      <c r="A38" s="31" t="s">
        <v>183</v>
      </c>
    </row>
    <row r="39" customFormat="false" ht="15" hidden="false" customHeight="true" outlineLevel="0" collapsed="false">
      <c r="A39" s="31"/>
    </row>
    <row r="40" customFormat="false" ht="15" hidden="false" customHeight="true" outlineLevel="0" collapsed="false">
      <c r="A40" s="30" t="s">
        <v>184</v>
      </c>
    </row>
    <row r="41" customFormat="false" ht="15" hidden="false" customHeight="true" outlineLevel="0" collapsed="false">
      <c r="A41" s="31" t="s">
        <v>185</v>
      </c>
    </row>
    <row r="42" customFormat="false" ht="15" hidden="false" customHeight="true" outlineLevel="0" collapsed="false">
      <c r="A42" s="31" t="s">
        <v>186</v>
      </c>
    </row>
    <row r="43" customFormat="false" ht="15" hidden="false" customHeight="true" outlineLevel="0" collapsed="false">
      <c r="A43" s="31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4" min="2" style="1" width="14"/>
  </cols>
  <sheetData>
    <row r="1" customFormat="false" ht="17.25" hidden="false" customHeight="true" outlineLevel="0" collapsed="false">
      <c r="A1" s="2" t="s">
        <v>188</v>
      </c>
    </row>
    <row r="2" customFormat="false" ht="15" hidden="false" customHeight="true" outlineLevel="0" collapsed="false">
      <c r="A2" s="3" t="s">
        <v>189</v>
      </c>
    </row>
    <row r="4" customFormat="false" ht="15" hidden="false" customHeight="true" outlineLevel="0" collapsed="false">
      <c r="A4" s="32" t="s">
        <v>3</v>
      </c>
      <c r="B4" s="5" t="s">
        <v>190</v>
      </c>
      <c r="C4" s="5" t="s">
        <v>191</v>
      </c>
      <c r="D4" s="5" t="s">
        <v>192</v>
      </c>
    </row>
    <row r="5" customFormat="false" ht="15" hidden="false" customHeight="true" outlineLevel="0" collapsed="false">
      <c r="A5" s="33" t="s">
        <v>193</v>
      </c>
      <c r="B5" s="16" t="n">
        <v>3.5</v>
      </c>
      <c r="C5" s="16" t="n">
        <v>7.3</v>
      </c>
      <c r="D5" s="16" t="n">
        <v>12.7</v>
      </c>
    </row>
    <row r="6" customFormat="false" ht="15" hidden="false" customHeight="true" outlineLevel="0" collapsed="false">
      <c r="A6" s="33" t="s">
        <v>194</v>
      </c>
      <c r="B6" s="16" t="n">
        <v>1.7</v>
      </c>
      <c r="C6" s="16" t="n">
        <v>3.8</v>
      </c>
      <c r="D6" s="16" t="n">
        <v>6.5</v>
      </c>
    </row>
    <row r="7" customFormat="false" ht="15" hidden="false" customHeight="true" outlineLevel="0" collapsed="false">
      <c r="A7" s="33" t="s">
        <v>195</v>
      </c>
      <c r="B7" s="16" t="n">
        <v>0.36</v>
      </c>
      <c r="C7" s="16" t="n">
        <v>0.72</v>
      </c>
      <c r="D7" s="16" t="n">
        <v>1.28</v>
      </c>
    </row>
    <row r="8" customFormat="false" ht="15" hidden="false" customHeight="true" outlineLevel="0" collapsed="false">
      <c r="A8" s="33" t="s">
        <v>196</v>
      </c>
      <c r="B8" s="16" t="n">
        <v>0.025</v>
      </c>
      <c r="C8" s="16" t="n">
        <v>0.069</v>
      </c>
      <c r="D8" s="16" t="n">
        <v>0.143</v>
      </c>
    </row>
    <row r="9" customFormat="false" ht="15" hidden="false" customHeight="true" outlineLevel="0" collapsed="false">
      <c r="A9" s="33" t="s">
        <v>197</v>
      </c>
      <c r="B9" s="16" t="n">
        <v>13.1</v>
      </c>
      <c r="C9" s="16" t="n">
        <v>13.7</v>
      </c>
      <c r="D9" s="16" t="n">
        <v>13.4</v>
      </c>
    </row>
    <row r="10" customFormat="false" ht="15" hidden="false" customHeight="true" outlineLevel="0" collapsed="false">
      <c r="A10" s="33" t="s">
        <v>198</v>
      </c>
      <c r="B10" s="16" t="n">
        <v>4.7</v>
      </c>
      <c r="C10" s="16" t="n">
        <v>5.3</v>
      </c>
      <c r="D10" s="16" t="n">
        <v>5.1</v>
      </c>
    </row>
    <row r="11" customFormat="false" ht="15" hidden="false" customHeight="true" outlineLevel="0" collapsed="false">
      <c r="A11" s="33" t="s">
        <v>24</v>
      </c>
      <c r="B11" s="15" t="n">
        <v>20</v>
      </c>
      <c r="C11" s="15" t="n">
        <v>20</v>
      </c>
      <c r="D11" s="15" t="n">
        <v>20</v>
      </c>
    </row>
    <row r="12" customFormat="false" ht="15" hidden="false" customHeight="true" outlineLevel="0" collapsed="false">
      <c r="A12" s="33" t="s">
        <v>199</v>
      </c>
      <c r="B12" s="15" t="n">
        <v>5879</v>
      </c>
      <c r="C12" s="15" t="n">
        <v>2940</v>
      </c>
      <c r="D12" s="15" t="n">
        <v>1654</v>
      </c>
    </row>
    <row r="14" customFormat="false" ht="15" hidden="false" customHeight="true" outlineLevel="0" collapsed="false">
      <c r="A14" s="19" t="s">
        <v>200</v>
      </c>
    </row>
    <row r="15" customFormat="false" ht="15" hidden="false" customHeight="true" outlineLevel="0" collapsed="false">
      <c r="A15" s="19" t="s">
        <v>201</v>
      </c>
    </row>
    <row r="16" customFormat="false" ht="15" hidden="false" customHeight="true" outlineLevel="0" collapsed="false">
      <c r="A16" s="19" t="s">
        <v>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2026-09-10T10:14:05Z</dcterms:created>
  <dc:creator>openpyxl</dc:creator>
  <dc:description/>
  <dc:language>en-US</dc:language>
  <cp:lastModifiedBy/>
  <dcterms:modified xsi:type="dcterms:W3CDTF">2026-09-10T10:14:15Z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